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LISTA" sheetId="1" r:id="rId4"/>
    <sheet state="visible" name="Lista On Premise" sheetId="2" r:id="rId5"/>
    <sheet state="visible" name="Software" sheetId="3" r:id="rId6"/>
    <sheet state="visible" name="HERRAMIENTAS" sheetId="4" r:id="rId7"/>
    <sheet state="visible" name="SERVICIOS_EN_LA_NUBE." sheetId="5" r:id="rId8"/>
    <sheet state="visible" name="SERVICIOS_IN_HOUSE" sheetId="6" r:id="rId9"/>
    <sheet state="visible" name="MATERIALES" sheetId="7" r:id="rId10"/>
    <sheet state="visible" name="COTIZACIÓN_CLOUD_AWS." sheetId="8" r:id="rId11"/>
    <sheet state="visible" name="COTIZACIÓN_SERVICIO_CLOUD_AZURE" sheetId="9" r:id="rId12"/>
    <sheet state="visible" name="TOTAL" sheetId="10" r:id="rId13"/>
  </sheets>
  <definedNames/>
  <calcPr/>
</workbook>
</file>

<file path=xl/sharedStrings.xml><?xml version="1.0" encoding="utf-8"?>
<sst xmlns="http://schemas.openxmlformats.org/spreadsheetml/2006/main" count="584" uniqueCount="264">
  <si>
    <t>NOMBRE</t>
  </si>
  <si>
    <t>Unidades</t>
  </si>
  <si>
    <t>Users 29 (N +1) N = n cargos</t>
  </si>
  <si>
    <t>Requisitos mínimos in house</t>
  </si>
  <si>
    <t>Requisitos Recomendados in house</t>
  </si>
  <si>
    <t>Requisitos mínimos cloud</t>
  </si>
  <si>
    <t>Requisitos Recomendados cloud</t>
  </si>
  <si>
    <t xml:space="preserve">Servidor On Premise, </t>
  </si>
  <si>
    <t>Procesador</t>
  </si>
  <si>
    <t>Xeon 1.8 GHZ 2 Núcleos.</t>
  </si>
  <si>
    <t>Xeon 3.6 GHZ 4 Nucleos.</t>
  </si>
  <si>
    <t>Xeon 0.55 GHZ 1 Nucleo.</t>
  </si>
  <si>
    <t>Xeon 1.2 2 Núcleos</t>
  </si>
  <si>
    <t>Xeon 0.733 GHZ 2 Nucleos.</t>
  </si>
  <si>
    <t>Xeon 1.6 GHZ 4 Nucleos.</t>
  </si>
  <si>
    <t>Xeon 0.5 GHZ 1 Nucleo.</t>
  </si>
  <si>
    <t>Xeon 1.0 GHZ 2 Nucleos.</t>
  </si>
  <si>
    <t xml:space="preserve">Servidor On Premise </t>
  </si>
  <si>
    <t>Ram</t>
  </si>
  <si>
    <t>8 GB</t>
  </si>
  <si>
    <t>16 GB</t>
  </si>
  <si>
    <t>6 GIGAS</t>
  </si>
  <si>
    <t>10 GB</t>
  </si>
  <si>
    <t>2 GB</t>
  </si>
  <si>
    <t>4 GB</t>
  </si>
  <si>
    <t>Router Corporativo Cisco</t>
  </si>
  <si>
    <t>DD</t>
  </si>
  <si>
    <t>1 DD De 1000GB + 2 1TB</t>
  </si>
  <si>
    <t>0 DD De 1000GB + 2 1TB</t>
  </si>
  <si>
    <t>2 DD De 1000GB + 2 1TB</t>
  </si>
  <si>
    <t>Firewall</t>
  </si>
  <si>
    <t>RED</t>
  </si>
  <si>
    <t>1 G</t>
  </si>
  <si>
    <t>Pachpanel</t>
  </si>
  <si>
    <t>SW 16 Port</t>
  </si>
  <si>
    <t>Rack</t>
  </si>
  <si>
    <t>Ups</t>
  </si>
  <si>
    <t>suscripcion sles</t>
  </si>
  <si>
    <t>windows server 2019 standar</t>
  </si>
  <si>
    <t>anydesk</t>
  </si>
  <si>
    <t>vmware</t>
  </si>
  <si>
    <t>suscripcion cloud azure</t>
  </si>
  <si>
    <t>suscripcion cloud aws</t>
  </si>
  <si>
    <t>cisco licencia</t>
  </si>
  <si>
    <t>Cable Utp</t>
  </si>
  <si>
    <t>211,2 M</t>
  </si>
  <si>
    <t>Metros  canaleta</t>
  </si>
  <si>
    <t>78 M</t>
  </si>
  <si>
    <t>Rj45</t>
  </si>
  <si>
    <t>Jacks Rj45</t>
  </si>
  <si>
    <t>Pachcore</t>
  </si>
  <si>
    <t>Organizador De Cables</t>
  </si>
  <si>
    <t>Ponchadora</t>
  </si>
  <si>
    <t>Tester De Utp</t>
  </si>
  <si>
    <t xml:space="preserve">TOTAL </t>
  </si>
  <si>
    <t>Manilla</t>
  </si>
  <si>
    <t>Provador de tonos</t>
  </si>
  <si>
    <t>1 Año</t>
  </si>
  <si>
    <t>Costos Soporte</t>
  </si>
  <si>
    <t>TRM</t>
  </si>
  <si>
    <t>TRM Ajustada</t>
  </si>
  <si>
    <t>Lista On Premise</t>
  </si>
  <si>
    <t>Descripción Técnica</t>
  </si>
  <si>
    <t>Cantidad</t>
  </si>
  <si>
    <t>Nombre</t>
  </si>
  <si>
    <t>Price Usd</t>
  </si>
  <si>
    <t>Pesos</t>
  </si>
  <si>
    <t>Valor Unitario Retenciones</t>
  </si>
  <si>
    <t>Valor Total.</t>
  </si>
  <si>
    <t>PowerEdge T140, Xeon 3.6Ghz, 16 Ram, 4 DD 1 Tera</t>
  </si>
  <si>
    <t>Servidor On Premise 16GB</t>
  </si>
  <si>
    <t>PowerEdge T440 , Xeon Gold 3.4 Ghz 8GB Ram, 4 DD 1 TB,</t>
  </si>
  <si>
    <t>Servidor On Premise 8GB</t>
  </si>
  <si>
    <t>Router de Cisco RV260 VPN</t>
  </si>
  <si>
    <t>Router Cisco</t>
  </si>
  <si>
    <t>MX67-HW Cisco Meraki Cloud Managed Firewall 3 años de licencia empresarial LIC-ENT-3YR</t>
  </si>
  <si>
    <t>Licencia Cisco</t>
  </si>
  <si>
    <t>Conmutador no administrado CBS110-16T-D del negocio de Cisco | 16 puertos GE | Protección limitada de por vida (CBS110-16T-D)</t>
  </si>
  <si>
    <t>Switch no administrable.</t>
  </si>
  <si>
    <t>APC por SCHNEIDER ELECTRIC SRT96RMBP 3 kVA 96 V Smart UPS SRT btry PK 12 Fuente de alimentación SRT96RMBP</t>
  </si>
  <si>
    <t>SAI</t>
  </si>
  <si>
    <t>APC NetShelter SV 42U Caja de seguridad (23.622 in de ancho x 41.732 in de profundidad (AR2400), color negro</t>
  </si>
  <si>
    <t>RACK</t>
  </si>
  <si>
    <t>Monitor Dell: P2219H</t>
  </si>
  <si>
    <t xml:space="preserve">Monitor Desplegable </t>
  </si>
  <si>
    <t>Workstation</t>
  </si>
  <si>
    <t>Puesto De Trabajo</t>
  </si>
  <si>
    <t>Sin Raccionalizar</t>
  </si>
  <si>
    <t>Total</t>
  </si>
  <si>
    <t>TOTAL</t>
  </si>
  <si>
    <t xml:space="preserve">DESCRIPCIÒN TÈCNICA </t>
  </si>
  <si>
    <t>CANTIDAD</t>
  </si>
  <si>
    <t>PRECIO UNITARIO</t>
  </si>
  <si>
    <t>PRECIO FINAL</t>
  </si>
  <si>
    <t xml:space="preserve">        
PowerEdge T440 , Xeon Gold 3.4 Ghz 8GB Ram, 4 DD 1 TB,</t>
  </si>
  <si>
    <t>Lista</t>
  </si>
  <si>
    <t>https://www.microsoft.com/es-es/windows-server/pricing</t>
  </si>
  <si>
    <t>Edición de Windows Server 2019</t>
  </si>
  <si>
    <t>Licencia De WInodws</t>
  </si>
  <si>
    <t>https://www.suse.com/shop/server/#subnav</t>
  </si>
  <si>
    <t>SUSE Linux Enterprise Server 1 año</t>
  </si>
  <si>
    <t>SUSE Linux Enterprise Server 1 año.</t>
  </si>
  <si>
    <t>https://www.redhat.com/en/store</t>
  </si>
  <si>
    <t>red hat enterprise linux server 1 año</t>
  </si>
  <si>
    <t>Siscripción RedHat</t>
  </si>
  <si>
    <t>https://anydesk.com/es/comprar</t>
  </si>
  <si>
    <t>AnyDesk</t>
  </si>
  <si>
    <t>Licencia De Anydesk</t>
  </si>
  <si>
    <t>https://www.mcafee.com/en-us/antivirus/smb.html</t>
  </si>
  <si>
    <t>Kaspersky(Para 30 nodos en un año)</t>
  </si>
  <si>
    <t>Antivirus</t>
  </si>
  <si>
    <t>https://store-us.vmware.com/vmware-workstation-16-pro-5424176500.html?theme=2</t>
  </si>
  <si>
    <t>VMware Workstation 16 Pro</t>
  </si>
  <si>
    <t>Software De Virtuakuzación</t>
  </si>
  <si>
    <t>https://www.microsoft.com/es-es/d/licencia-cal-de-servicios-de-escritorio-remoto-de-windows-server/dg7gmgf0dvsv</t>
  </si>
  <si>
    <t>Licencia CAL de Servicios de Escritorio remoto de Windows Server</t>
  </si>
  <si>
    <t>Licencia Para el Trabajo</t>
  </si>
  <si>
    <t>https://www.amazon.com/-/es/MX67C-HW-Cisco-Meraki-Managed-Firewall/dp/B07KKQMQSD/ref=sr_1_18?__mk_es_US=ÅMÅŽÕÑ&amp;dchild=1&amp;keywords=licence+cisco+firewall&amp;qid=1624664114&amp;sr=8-18</t>
  </si>
  <si>
    <t>MX67C-HW Cisco Meraki, MX67C Meraki Cloud Managed Firewall con: LIC-SEC-1YR - Licencia de seguridad avanzada de Cisco Meraki de 1 año</t>
  </si>
  <si>
    <t>Licencia De Cisco</t>
  </si>
  <si>
    <t>https://www.amazon.com/-/es/Cisco-Meraki-licencia-soporte-empresarial/dp/B01BPA232Q/ref=sr_1_13?__mk_es_US=ÅMÅŽÕÑ&amp;dchild=1&amp;keywords=licence+cisco&amp;qid=1624664303&amp;sr=8-13</t>
  </si>
  <si>
    <t>Cisco licence sw</t>
  </si>
  <si>
    <t>Licencia De Sw</t>
  </si>
  <si>
    <t>Cisco router licencia</t>
  </si>
  <si>
    <t>Licencia De Router</t>
  </si>
  <si>
    <t>contrato soporte hp  1 Año</t>
  </si>
  <si>
    <t>Soporte</t>
  </si>
  <si>
    <t>contrato soporte cisco 1 año</t>
  </si>
  <si>
    <t>Costo Sin Racionalizar</t>
  </si>
  <si>
    <t>Karpesky</t>
  </si>
  <si>
    <t>1.2. EQUIPOS Y HERRAMIENTA</t>
  </si>
  <si>
    <t>TMR</t>
  </si>
  <si>
    <t>Unidad de medida</t>
  </si>
  <si>
    <t>Fuente de financiamiento</t>
  </si>
  <si>
    <t>Precio Usd</t>
  </si>
  <si>
    <t>Valor Unitario Sin Iva</t>
  </si>
  <si>
    <t>Valor Con Iva</t>
  </si>
  <si>
    <t>Valor Con Impuestos</t>
  </si>
  <si>
    <t xml:space="preserve">Valor </t>
  </si>
  <si>
    <t>Tester Cable Utp.</t>
  </si>
  <si>
    <t>unidad</t>
  </si>
  <si>
    <t>contado</t>
  </si>
  <si>
    <t>Manilla Antiestatica.</t>
  </si>
  <si>
    <t>Provador De Tonos.</t>
  </si>
  <si>
    <t>Ponchadora RJ11 RJ45 Y RJ12</t>
  </si>
  <si>
    <t>Valor Unitario Equipo de trabajo</t>
  </si>
  <si>
    <t>valor total</t>
  </si>
  <si>
    <t xml:space="preserve">TOTAL SIN RACIONALIZAR </t>
  </si>
  <si>
    <t>Unidad</t>
  </si>
  <si>
    <t>Contado</t>
  </si>
  <si>
    <t>Probador De Tonos.</t>
  </si>
  <si>
    <t>SERVICIOS IN CLOUD</t>
  </si>
  <si>
    <t>Valor Unitario Otras Fuentes de Financiamiento</t>
  </si>
  <si>
    <t>Valor Parcial Unitario Equipo de trabajo</t>
  </si>
  <si>
    <t>Valor Parcial Otras Fuentes de Financiamiento</t>
  </si>
  <si>
    <t>Soporte Mes</t>
  </si>
  <si>
    <t>Aprendiz</t>
  </si>
  <si>
    <t>Implementación</t>
  </si>
  <si>
    <t>Asesor Externo</t>
  </si>
  <si>
    <t>Abogado</t>
  </si>
  <si>
    <t>Contador</t>
  </si>
  <si>
    <t>Sin Racionalizar</t>
  </si>
  <si>
    <t xml:space="preserve">PRECIO FINAL </t>
  </si>
  <si>
    <t>Servicio Tenologo</t>
  </si>
  <si>
    <t>Asesor extremo</t>
  </si>
  <si>
    <t>contador</t>
  </si>
  <si>
    <t>1.3 SERVICIOS</t>
  </si>
  <si>
    <t>Microsoft Azure Estimate(Windows Server)</t>
  </si>
  <si>
    <t>Microsoft Azure Estimate(Centos Linux)</t>
  </si>
  <si>
    <t>Your Estimate</t>
  </si>
  <si>
    <t>Service type</t>
  </si>
  <si>
    <t>Custom name</t>
  </si>
  <si>
    <t>Region</t>
  </si>
  <si>
    <t>Description</t>
  </si>
  <si>
    <t>Estimated monthly cost</t>
  </si>
  <si>
    <t>Estimated upfront cost</t>
  </si>
  <si>
    <t>Virtual Machines</t>
  </si>
  <si>
    <t>West US</t>
  </si>
  <si>
    <t>1 D2d v4 (2 vCPUs, 8 GB RAM) x 730 Hours; Windows – SQL Server; Pay as you go; 2 managed disks – S30, 100 transaction units; Inter Region transfer type, 5 GB outbound data transfer from West US to East Asia</t>
  </si>
  <si>
    <t>1 A2 v2 (2 vCPUs, 4 GB RAM) x 730 Hours; Linux – CentOS; Pay as you go; 2 managed disks – S30, 100 transaction units; Inter Region transfer type, 5 GB outbound data transfer from West US to East Asia</t>
  </si>
  <si>
    <t>Asesor externo</t>
  </si>
  <si>
    <t>Support</t>
  </si>
  <si>
    <t>Licensing Program</t>
  </si>
  <si>
    <t>Microsoft Online Services Agreement</t>
  </si>
  <si>
    <t>Disclaimer</t>
  </si>
  <si>
    <t>All prices shown are in US Dollar ($). This is a summary estimate, not a quote. For up to date pricing information please visit https://azure.microsoft.com/pricing/calculator/</t>
  </si>
  <si>
    <t>This estimate was created at 6/22/2021 1:16:24 AM UTC.</t>
  </si>
  <si>
    <t>This estimate was created at 6/22/2021 1:13:41 AM UTC.</t>
  </si>
  <si>
    <t>This estimate was created at 6/22/2021 12:59:18 AM UTC.</t>
  </si>
  <si>
    <t>Servicios electricos</t>
  </si>
  <si>
    <t>1.1. MATERIALES</t>
  </si>
  <si>
    <t>valor unitario sin iva]</t>
  </si>
  <si>
    <t>valor con iva</t>
  </si>
  <si>
    <t>valor con impuestos</t>
  </si>
  <si>
    <t xml:space="preserve">valor </t>
  </si>
  <si>
    <t>Canaleta x 18 (200CmUnidad)</t>
  </si>
  <si>
    <t>Cable Utp CaE5(305m)</t>
  </si>
  <si>
    <t>Plug Rj45 (Paquete X 100)</t>
  </si>
  <si>
    <t>Jacks Rj45 (Paquete de 50)</t>
  </si>
  <si>
    <t>Pacth core (Paquete de 24)</t>
  </si>
  <si>
    <t>Service Type</t>
  </si>
  <si>
    <t>Components</t>
  </si>
  <si>
    <t>Component Price</t>
  </si>
  <si>
    <t>Service Price</t>
  </si>
  <si>
    <t>Amazon EC2 Service (US East (N. Virginia))</t>
  </si>
  <si>
    <t>$1372.66</t>
  </si>
  <si>
    <t>Compute:</t>
  </si>
  <si>
    <t>US East (N. Virginia)</t>
  </si>
  <si>
    <t>$1162.46</t>
  </si>
  <si>
    <t>Intra-Region Data Transfer:</t>
  </si>
  <si>
    <t>EBS Volumes:</t>
  </si>
  <si>
    <t>EBS Throughput:</t>
  </si>
  <si>
    <t>Elastic IPs:</t>
  </si>
  <si>
    <t>$7.2</t>
  </si>
  <si>
    <t>Inter-Region Data Transfer Out:</t>
  </si>
  <si>
    <t>AWS Data Transfer In</t>
  </si>
  <si>
    <t>US East (N. Virginia) Region:</t>
  </si>
  <si>
    <t>Global</t>
  </si>
  <si>
    <t>firewall</t>
  </si>
  <si>
    <t>$0.085/hr</t>
  </si>
  <si>
    <t>AWS Data Transfer Out</t>
  </si>
  <si>
    <t>$8.91</t>
  </si>
  <si>
    <t>total de horas</t>
  </si>
  <si>
    <t>costo total</t>
  </si>
  <si>
    <t>AWS Support (Business)</t>
  </si>
  <si>
    <t>$137.89</t>
  </si>
  <si>
    <t>trafico</t>
  </si>
  <si>
    <t>Support for all AWS services:</t>
  </si>
  <si>
    <t>Free Tier Discount:</t>
  </si>
  <si>
    <t>$-2.76</t>
  </si>
  <si>
    <t>Total Monthly Payment:</t>
  </si>
  <si>
    <t>$1516.7</t>
  </si>
  <si>
    <t>COTIZACIÓN_SERVICIO_CLOUD_AWS.</t>
  </si>
  <si>
    <t>Fuente De Financiamiento</t>
  </si>
  <si>
    <t>Sistema operativo (Windows Server), Cantidad de almacenamiento (1 TB), DT Inbound: All other regions (100 TB per month), DT Outbound: All other regions (100 GB per month), DT Intra-Region: (100 GB per month), Workload (Consistent, Number of instances: 1), Frecuencia de instantáneas (Semanal), Cantidad cambiada por instantánea (100 GB), Instancia EC2 por adelantado (t3a.xlarge), Pricing strategy (EC2 Instance Savings Plans 1 Year  None upfront)</t>
  </si>
  <si>
    <t>Operating system (SUSE Linux Enterprise Server), Storage amount (1 TB), DT Inbound: All other regions (100 GB per month), DT Outbound: All other regions (100 GB per month), DT Intra-Region: (100 GB per month), Workload (Consistent, Number of instances: 1), Advance EC2 instance (t4g.large), Pricing strategy (EC2 Instance Savings Plans 1 Year  None upfront), Snapshot Frequency (Weekly), Amount changed per snapshot (100 GB)</t>
  </si>
  <si>
    <t>Operating system (Linux), Storage amount (40 GB), DT Inbound: All other regions (100 GB per month), DT Outbound: All other regions (100 GB per month), DT Intra-Region: (100 GB per month), Workload (Consistent, Number of instances: 1), Advance EC2 instance (t4g.medium), Pricing strategy (EC2 Instance Savings Plans 1 Year  None upfront), Snapshot Frequency (Weekly), Amount changed per snapshot (100 GB)</t>
  </si>
  <si>
    <t>Operating system (Red Hat Enterprise Linux), Storage amount (1 TB), DT Inbound: All other regions (100 GB per month), DT Outbound: All other regions (100 GB per month), DT Intra-Region: (100 GB per month), Workload (Consistent, Number of instances: 1), Advance EC2 instance (t4g.xlarge), Pricing strategy (EC2 Instance Savings Plans 1 Year  None upfront), Snapshot Frequency (Weekly), Amount changed per snapshot (100 GB)</t>
  </si>
  <si>
    <t>Número de listas de control de acceso web (ACL web) utilizadas (100 por mes), Número de reglas agregadas por ACL web (140 por mes), Número de grupos de reglas por ACL web (1 por mes), Número de reglas dentro de cada grupo de reglas (100 por mes), Número de grupos de reglas administrados (100 por mes)</t>
  </si>
  <si>
    <t>Costo Por año</t>
  </si>
  <si>
    <t>Microsoft Azure Estimate</t>
  </si>
  <si>
    <t>1 D4 v3 (4 vCPUs, 16 GB RAM) x 730 Hours; Windows – (OS Only); Pay as you go; 1 managed disk – S30, 10,000 transaction units; Inter Region transfer type, 100 GB outbound data transfer from West US to East Asia</t>
  </si>
  <si>
    <t>1 F2s v2 (2 vCPUs, 4 GB RAM); Linux – CentOS; 1 year reserved; 1 managed disk – S30, 10,000 transaction units; Inter Region transfer type, 100 GB outbound data transfer from West US to East Asia</t>
  </si>
  <si>
    <t>1 D4s v4 (4 vCPUs, 16 GB RAM); Linux – SUSE Linux Enterprise; 1 year reserved; 1 managed disk – S30, 10,000 transaction units; Inter Region transfer type, 100 GB outbound data transfer from West US to East Asia</t>
  </si>
  <si>
    <t>1 B4MS (4 vCPUs, 16 GB RAM); Linux – Red Hat Enterprise Linux; 1 year reserved; 1 managed disk – S30, 100 transaction units; Inter Region transfer type, 100 GB outbound data transfer from West US to East Asia</t>
  </si>
  <si>
    <t>Azure Firewall</t>
  </si>
  <si>
    <t>Standard tier, 1 Logical firewall units x 720 Hours, 100 GB Data processed</t>
  </si>
  <si>
    <t>This estimate was created at 6/29/2021 8:13:02 PM UTC.</t>
  </si>
  <si>
    <t>COTIZACIÓN_SERVICIO_CLOUD_AZURE.</t>
  </si>
  <si>
    <t>Costos totales del proyecto</t>
  </si>
  <si>
    <t>Costo mes</t>
  </si>
  <si>
    <t>Costo equipos</t>
  </si>
  <si>
    <t>Costo servicios</t>
  </si>
  <si>
    <t>Costo Total</t>
  </si>
  <si>
    <t>Cloud AWS + AZURE</t>
  </si>
  <si>
    <t>1° CLOUD (AZURE O AWS)</t>
  </si>
  <si>
    <t>Solo On-Promise</t>
  </si>
  <si>
    <t>refri + adecu + loca</t>
  </si>
  <si>
    <t>Arquitecturas Hyper-Convergentes</t>
  </si>
  <si>
    <t>Homecenter.</t>
  </si>
  <si>
    <t>Ventas brutas</t>
  </si>
  <si>
    <t>Perdida al mes</t>
  </si>
  <si>
    <t>Perdida al dìa</t>
  </si>
  <si>
    <t>https://www.homecenter.com.co/static/landing/footer/docs/2017/INFORME-FINANCIERO-Sodimac-2019.pdf</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</si>
</sst>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quot;$&quot;#,##0.00"/>
    <numFmt numFmtId="165" formatCode="[$$]#,##0.00"/>
    <numFmt numFmtId="166" formatCode="&quot;$&quot;#,##0"/>
    <numFmt numFmtId="167" formatCode="#,##0.0000"/>
  </numFmts>
  <fonts count="46">
    <font>
      <sz val="10.0"/>
      <color rgb="FF000000"/>
      <name val="Arial"/>
    </font>
    <font>
      <color theme="1"/>
      <name val="Arial"/>
    </font>
    <font>
      <sz val="9.0"/>
      <color rgb="FF000000"/>
      <name val="Arial"/>
    </font>
    <font>
      <sz val="12.0"/>
      <color rgb="FF000000"/>
      <name val="&quot;Times New Roman&quot;"/>
    </font>
    <font>
      <sz val="11.0"/>
      <color rgb="FF000000"/>
      <name val="Arial"/>
    </font>
    <font>
      <b/>
      <sz val="11.0"/>
      <color rgb="FF000000"/>
      <name val="Arial"/>
    </font>
    <font>
      <sz val="36.0"/>
      <color theme="1"/>
      <name val="Arial"/>
    </font>
    <font>
      <sz val="24.0"/>
      <color theme="1"/>
      <name val="Arial"/>
    </font>
    <font/>
    <font>
      <b/>
      <sz val="12.0"/>
      <color rgb="FFFF0000"/>
      <name val="&quot;Helvetica Neue&quot;"/>
    </font>
    <font>
      <sz val="12.0"/>
      <color theme="1"/>
      <name val="Times New Roman"/>
    </font>
    <font>
      <sz val="12.0"/>
      <color rgb="FF000000"/>
      <name val="Times New Roman"/>
    </font>
    <font>
      <b/>
      <sz val="12.0"/>
      <color theme="1"/>
      <name val="Times New Roman"/>
    </font>
    <font>
      <sz val="12.0"/>
      <color theme="1"/>
      <name val="Arial"/>
    </font>
    <font>
      <u/>
      <color rgb="FF1155CC"/>
      <name val="Arial"/>
    </font>
    <font>
      <sz val="12.0"/>
      <color rgb="FF000000"/>
      <name val="Arial"/>
    </font>
    <font>
      <sz val="11.0"/>
      <color rgb="FF434343"/>
      <name val="Inconsolata"/>
    </font>
    <font>
      <b/>
      <sz val="9.0"/>
      <color rgb="FF000000"/>
      <name val="Calibri"/>
    </font>
    <font>
      <b/>
      <sz val="12.0"/>
      <color rgb="FF000000"/>
      <name val="Times New Roman"/>
    </font>
    <font>
      <b/>
      <sz val="12.0"/>
      <color rgb="FF800000"/>
      <name val="Arial"/>
    </font>
    <font>
      <sz val="12.0"/>
      <color rgb="FFFF9900"/>
      <name val="Arial"/>
    </font>
    <font>
      <b/>
      <sz val="12.0"/>
      <color rgb="FF000000"/>
      <name val="Inconsolata"/>
    </font>
    <font>
      <sz val="12.0"/>
      <color rgb="FF333333"/>
      <name val="Times New Roman"/>
    </font>
    <font>
      <b/>
      <sz val="11.0"/>
      <color rgb="FF000000"/>
      <name val="Calibri"/>
    </font>
    <font>
      <sz val="11.0"/>
      <color rgb="FF000000"/>
      <name val="Inconsolata"/>
    </font>
    <font>
      <b/>
      <sz val="12.0"/>
      <color rgb="FF000000"/>
      <name val="&quot;Times New Roman&quot;"/>
    </font>
    <font>
      <sz val="10.0"/>
      <color theme="1"/>
      <name val="Arial"/>
    </font>
    <font>
      <b/>
      <sz val="14.0"/>
      <color theme="1"/>
      <name val="Arial"/>
    </font>
    <font>
      <sz val="11.0"/>
      <color theme="1"/>
      <name val="&quot;Segoe UI Light&quot;"/>
    </font>
    <font>
      <b/>
      <sz val="12.0"/>
      <color theme="1"/>
      <name val="&quot;Segoe UI Light&quot;"/>
    </font>
    <font>
      <b/>
      <sz val="11.0"/>
      <color theme="1"/>
      <name val="&quot;Segoe UI Light&quot;"/>
    </font>
    <font>
      <b/>
      <sz val="11.0"/>
      <color theme="1"/>
      <name val="Arial"/>
    </font>
    <font>
      <i/>
      <sz val="11.0"/>
      <color theme="1"/>
      <name val="&quot;Segoe UI Light&quot;"/>
    </font>
    <font>
      <color rgb="FF000000"/>
      <name val="Arial"/>
    </font>
    <font>
      <sz val="11.0"/>
      <color theme="1"/>
      <name val="Arial"/>
    </font>
    <font>
      <sz val="12.0"/>
      <color rgb="FF000000"/>
      <name val="Calibri"/>
    </font>
    <font>
      <sz val="12.0"/>
      <color rgb="FF333333"/>
      <name val="Arial"/>
    </font>
    <font>
      <sz val="14.0"/>
      <color rgb="FF0E7F74"/>
      <name val="Arial"/>
    </font>
    <font>
      <b/>
      <sz val="10.0"/>
      <color rgb="FF000000"/>
      <name val="Times New Roman"/>
    </font>
    <font>
      <sz val="10.0"/>
      <color theme="1"/>
      <name val="Times New Roman"/>
    </font>
    <font>
      <sz val="10.0"/>
      <color rgb="FF000000"/>
      <name val="Times New Roman"/>
    </font>
    <font>
      <b/>
      <sz val="14.0"/>
      <color theme="1"/>
      <name val="&quot;Segoe UI Light&quot;"/>
    </font>
    <font>
      <b/>
      <color theme="1"/>
      <name val="Arial"/>
    </font>
    <font>
      <name val="Arial"/>
    </font>
    <font>
      <b/>
      <sz val="12.0"/>
      <color theme="1"/>
      <name val="Arial"/>
    </font>
    <font>
      <u/>
      <color rgb="FF0000FF"/>
    </font>
  </fonts>
  <fills count="14">
    <fill>
      <patternFill patternType="none"/>
    </fill>
    <fill>
      <patternFill patternType="lightGray"/>
    </fill>
    <fill>
      <patternFill patternType="solid">
        <fgColor rgb="FF6FA8DC"/>
        <bgColor rgb="FF6FA8DC"/>
      </patternFill>
    </fill>
    <fill>
      <patternFill patternType="solid">
        <fgColor rgb="FFFFFFFF"/>
        <bgColor rgb="FFFFFFFF"/>
      </patternFill>
    </fill>
    <fill>
      <patternFill patternType="solid">
        <fgColor rgb="FFEA9999"/>
        <bgColor rgb="FFEA9999"/>
      </patternFill>
    </fill>
    <fill>
      <patternFill patternType="solid">
        <fgColor rgb="FF6D9EEB"/>
        <bgColor rgb="FF6D9EEB"/>
      </patternFill>
    </fill>
    <fill>
      <patternFill patternType="solid">
        <fgColor rgb="FFE6E6E6"/>
        <bgColor rgb="FFE6E6E6"/>
      </patternFill>
    </fill>
    <fill>
      <patternFill patternType="solid">
        <fgColor rgb="FF9FC5E8"/>
        <bgColor rgb="FF9FC5E8"/>
      </patternFill>
    </fill>
    <fill>
      <patternFill patternType="solid">
        <fgColor rgb="FFDDEBF7"/>
        <bgColor rgb="FFDDEBF7"/>
      </patternFill>
    </fill>
    <fill>
      <patternFill patternType="solid">
        <fgColor rgb="FFD3D3D3"/>
        <bgColor rgb="FFD3D3D3"/>
      </patternFill>
    </fill>
    <fill>
      <patternFill patternType="solid">
        <fgColor rgb="FFD9D9D9"/>
        <bgColor rgb="FFD9D9D9"/>
      </patternFill>
    </fill>
    <fill>
      <patternFill patternType="solid">
        <fgColor rgb="FFFFFF00"/>
        <bgColor rgb="FFFFFF00"/>
      </patternFill>
    </fill>
    <fill>
      <patternFill patternType="solid">
        <fgColor rgb="FFFF9900"/>
        <bgColor rgb="FFFF9900"/>
      </patternFill>
    </fill>
    <fill>
      <patternFill patternType="solid">
        <fgColor rgb="FF3D85C6"/>
        <bgColor rgb="FF3D85C6"/>
      </patternFill>
    </fill>
  </fills>
  <borders count="16">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00000"/>
      </left>
      <right style="thin">
        <color rgb="FF000000"/>
      </right>
      <bottom style="thin">
        <color rgb="FF000000"/>
      </bottom>
    </border>
    <border>
      <right style="thin">
        <color rgb="FF000000"/>
      </right>
    </border>
    <border>
      <left style="thin">
        <color rgb="FF000000"/>
      </left>
      <right style="thin">
        <color rgb="FF000000"/>
      </right>
      <top style="thin">
        <color rgb="FF000000"/>
      </top>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rder>
    <border>
      <left style="thin">
        <color rgb="FF000000"/>
      </left>
      <right style="thin">
        <color rgb="FF000000"/>
      </right>
    </border>
  </borders>
  <cellStyleXfs count="1">
    <xf borderId="0" fillId="0" fontId="0" numFmtId="0" applyAlignment="1" applyFont="1"/>
  </cellStyleXfs>
  <cellXfs count="321">
    <xf borderId="0" fillId="0" fontId="0" numFmtId="0" xfId="0" applyAlignment="1" applyFont="1">
      <alignment readingOrder="0" shrinkToFit="0" vertical="bottom" wrapText="0"/>
    </xf>
    <xf borderId="1" fillId="2" fontId="1" numFmtId="0" xfId="0" applyAlignment="1" applyBorder="1" applyFill="1" applyFont="1">
      <alignment horizontal="center" readingOrder="0" vertical="center"/>
    </xf>
    <xf borderId="0" fillId="3" fontId="1" numFmtId="0" xfId="0" applyAlignment="1" applyFill="1" applyFont="1">
      <alignment horizontal="center" readingOrder="0" vertical="center"/>
    </xf>
    <xf borderId="0" fillId="3" fontId="2" numFmtId="0" xfId="0" applyAlignment="1" applyFont="1">
      <alignment horizontal="left" readingOrder="0" shrinkToFit="0" wrapText="1"/>
    </xf>
    <xf borderId="1" fillId="2" fontId="3" numFmtId="0" xfId="0" applyAlignment="1" applyBorder="1" applyFont="1">
      <alignment horizontal="left" readingOrder="0" shrinkToFit="0" wrapText="1"/>
    </xf>
    <xf borderId="1" fillId="3" fontId="1" numFmtId="0" xfId="0" applyAlignment="1" applyBorder="1" applyFont="1">
      <alignment readingOrder="0"/>
    </xf>
    <xf borderId="1" fillId="3" fontId="1" numFmtId="0" xfId="0" applyAlignment="1" applyBorder="1" applyFont="1">
      <alignment horizontal="center" readingOrder="0"/>
    </xf>
    <xf borderId="0" fillId="3" fontId="1" numFmtId="0" xfId="0" applyFont="1"/>
    <xf borderId="0" fillId="3" fontId="4" numFmtId="0" xfId="0" applyAlignment="1" applyFont="1">
      <alignment horizontal="left" readingOrder="0" shrinkToFit="0" wrapText="1"/>
    </xf>
    <xf borderId="1" fillId="2" fontId="4" numFmtId="0" xfId="0" applyAlignment="1" applyBorder="1" applyFont="1">
      <alignment horizontal="left" readingOrder="0" shrinkToFit="0" wrapText="1"/>
    </xf>
    <xf borderId="1" fillId="3" fontId="5" numFmtId="0" xfId="0" applyAlignment="1" applyBorder="1" applyFont="1">
      <alignment horizontal="center" readingOrder="0" shrinkToFit="0" wrapText="1"/>
    </xf>
    <xf borderId="1" fillId="3" fontId="5" numFmtId="0" xfId="0" applyAlignment="1" applyBorder="1" applyFont="1">
      <alignment horizontal="center" readingOrder="0" shrinkToFit="0" vertical="center" wrapText="1"/>
    </xf>
    <xf borderId="0" fillId="3" fontId="5" numFmtId="0" xfId="0" applyAlignment="1" applyFont="1">
      <alignment horizontal="left" readingOrder="0" shrinkToFit="0" wrapText="1"/>
    </xf>
    <xf borderId="0" fillId="3" fontId="5" numFmtId="0" xfId="0" applyAlignment="1" applyFont="1">
      <alignment horizontal="center" readingOrder="0" shrinkToFit="0" vertical="center" wrapText="1"/>
    </xf>
    <xf borderId="1" fillId="2" fontId="4" numFmtId="0" xfId="0" applyAlignment="1" applyBorder="1" applyFont="1">
      <alignment horizontal="center" readingOrder="0" shrinkToFit="0" vertical="center" wrapText="1"/>
    </xf>
    <xf borderId="1" fillId="0" fontId="1" numFmtId="0" xfId="0" applyBorder="1" applyFont="1"/>
    <xf borderId="1" fillId="0" fontId="1" numFmtId="0" xfId="0" applyAlignment="1" applyBorder="1" applyFont="1">
      <alignment horizontal="center"/>
    </xf>
    <xf borderId="1" fillId="3" fontId="1" numFmtId="0" xfId="0" applyBorder="1" applyFont="1"/>
    <xf borderId="1" fillId="3" fontId="1" numFmtId="0" xfId="0" applyAlignment="1" applyBorder="1" applyFont="1">
      <alignment horizontal="center"/>
    </xf>
    <xf borderId="1" fillId="0" fontId="1" numFmtId="0" xfId="0" applyAlignment="1" applyBorder="1" applyFont="1">
      <alignment readingOrder="0"/>
    </xf>
    <xf borderId="1" fillId="0" fontId="1" numFmtId="0" xfId="0" applyAlignment="1" applyBorder="1" applyFont="1">
      <alignment horizontal="center" readingOrder="0"/>
    </xf>
    <xf borderId="0" fillId="2" fontId="6" numFmtId="0" xfId="0" applyAlignment="1" applyFont="1">
      <alignment readingOrder="0"/>
    </xf>
    <xf borderId="0" fillId="4" fontId="7" numFmtId="164" xfId="0" applyAlignment="1" applyFill="1" applyFont="1" applyNumberFormat="1">
      <alignment horizontal="center" vertical="center"/>
    </xf>
    <xf borderId="2" fillId="2" fontId="1" numFmtId="0" xfId="0" applyAlignment="1" applyBorder="1" applyFont="1">
      <alignment horizontal="center" readingOrder="0"/>
    </xf>
    <xf borderId="3" fillId="0" fontId="8" numFmtId="0" xfId="0" applyBorder="1" applyFont="1"/>
    <xf borderId="4" fillId="0" fontId="8" numFmtId="0" xfId="0" applyBorder="1" applyFont="1"/>
    <xf borderId="1" fillId="2" fontId="1" numFmtId="0" xfId="0" applyAlignment="1" applyBorder="1" applyFont="1">
      <alignment readingOrder="0"/>
    </xf>
    <xf borderId="1" fillId="0" fontId="1" numFmtId="4" xfId="0" applyBorder="1" applyFont="1" applyNumberFormat="1"/>
    <xf borderId="0" fillId="0" fontId="1" numFmtId="0" xfId="0" applyAlignment="1" applyFont="1">
      <alignment readingOrder="0"/>
    </xf>
    <xf borderId="0" fillId="3" fontId="9" numFmtId="4" xfId="0" applyAlignment="1" applyFont="1" applyNumberFormat="1">
      <alignment readingOrder="0"/>
    </xf>
    <xf borderId="2" fillId="0" fontId="1" numFmtId="0" xfId="0" applyBorder="1" applyFont="1"/>
    <xf borderId="5" fillId="5" fontId="10" numFmtId="0" xfId="0" applyAlignment="1" applyBorder="1" applyFill="1" applyFont="1">
      <alignment horizontal="center" readingOrder="0"/>
    </xf>
    <xf borderId="6" fillId="0" fontId="8" numFmtId="0" xfId="0" applyBorder="1" applyFont="1"/>
    <xf borderId="7" fillId="0" fontId="8" numFmtId="0" xfId="0" applyBorder="1" applyFont="1"/>
    <xf borderId="1" fillId="5" fontId="10" numFmtId="0" xfId="0" applyAlignment="1" applyBorder="1" applyFont="1">
      <alignment horizontal="center" readingOrder="0"/>
    </xf>
    <xf borderId="1" fillId="5" fontId="10" numFmtId="0" xfId="0" applyAlignment="1" applyBorder="1" applyFont="1">
      <alignment horizontal="center" readingOrder="0" shrinkToFit="0" wrapText="1"/>
    </xf>
    <xf borderId="1" fillId="0" fontId="10" numFmtId="0" xfId="0" applyAlignment="1" applyBorder="1" applyFont="1">
      <alignment horizontal="center" readingOrder="0" shrinkToFit="0" wrapText="1"/>
    </xf>
    <xf borderId="1" fillId="0" fontId="10" numFmtId="0" xfId="0" applyAlignment="1" applyBorder="1" applyFont="1">
      <alignment horizontal="center" readingOrder="0" vertical="center"/>
    </xf>
    <xf borderId="1" fillId="0" fontId="10" numFmtId="0" xfId="0" applyAlignment="1" applyBorder="1" applyFont="1">
      <alignment horizontal="center" readingOrder="0" shrinkToFit="0" vertical="center" wrapText="1"/>
    </xf>
    <xf borderId="0" fillId="3" fontId="11" numFmtId="164" xfId="0" applyAlignment="1" applyFont="1" applyNumberFormat="1">
      <alignment horizontal="center" readingOrder="0" vertical="center"/>
    </xf>
    <xf borderId="1" fillId="0" fontId="10" numFmtId="164" xfId="0" applyAlignment="1" applyBorder="1" applyFont="1" applyNumberFormat="1">
      <alignment horizontal="center" vertical="center"/>
    </xf>
    <xf borderId="1" fillId="3" fontId="11" numFmtId="164" xfId="0" applyAlignment="1" applyBorder="1" applyFont="1" applyNumberFormat="1">
      <alignment horizontal="center" readingOrder="0" vertical="center"/>
    </xf>
    <xf borderId="1" fillId="0" fontId="11" numFmtId="164" xfId="0" applyAlignment="1" applyBorder="1" applyFont="1" applyNumberFormat="1">
      <alignment horizontal="center" readingOrder="0" vertical="center"/>
    </xf>
    <xf borderId="1" fillId="3" fontId="11" numFmtId="165" xfId="0" applyAlignment="1" applyBorder="1" applyFont="1" applyNumberFormat="1">
      <alignment horizontal="center" readingOrder="0" vertical="center"/>
    </xf>
    <xf borderId="0" fillId="0" fontId="10" numFmtId="0" xfId="0" applyFont="1"/>
    <xf borderId="1" fillId="4" fontId="10" numFmtId="0" xfId="0" applyAlignment="1" applyBorder="1" applyFont="1">
      <alignment readingOrder="0"/>
    </xf>
    <xf borderId="1" fillId="4" fontId="10" numFmtId="0" xfId="0" applyAlignment="1" applyBorder="1" applyFont="1">
      <alignment horizontal="center" readingOrder="0" vertical="center"/>
    </xf>
    <xf borderId="1" fillId="4" fontId="10" numFmtId="164" xfId="0" applyAlignment="1" applyBorder="1" applyFont="1" applyNumberFormat="1">
      <alignment horizontal="center" vertical="center"/>
    </xf>
    <xf borderId="0" fillId="3" fontId="1" numFmtId="0" xfId="0" applyAlignment="1" applyFont="1">
      <alignment horizontal="center" vertical="bottom"/>
    </xf>
    <xf borderId="0" fillId="3" fontId="1" numFmtId="165" xfId="0" applyAlignment="1" applyFont="1" applyNumberFormat="1">
      <alignment horizontal="center" vertical="bottom"/>
    </xf>
    <xf borderId="7" fillId="2" fontId="12" numFmtId="0" xfId="0" applyAlignment="1" applyBorder="1" applyFont="1">
      <alignment horizontal="center" shrinkToFit="0" wrapText="1"/>
    </xf>
    <xf borderId="7" fillId="2" fontId="12" numFmtId="164" xfId="0" applyAlignment="1" applyBorder="1" applyFont="1" applyNumberFormat="1">
      <alignment horizontal="center" readingOrder="0" shrinkToFit="0" wrapText="1"/>
    </xf>
    <xf borderId="2" fillId="3" fontId="1" numFmtId="0" xfId="0" applyAlignment="1" applyBorder="1" applyFont="1">
      <alignment horizontal="center" vertical="bottom"/>
    </xf>
    <xf borderId="1" fillId="2" fontId="12" numFmtId="0" xfId="0" applyAlignment="1" applyBorder="1" applyFont="1">
      <alignment horizontal="center" shrinkToFit="0" wrapText="1"/>
    </xf>
    <xf borderId="4" fillId="2" fontId="12" numFmtId="0" xfId="0" applyAlignment="1" applyBorder="1" applyFont="1">
      <alignment horizontal="center" shrinkToFit="0" wrapText="1"/>
    </xf>
    <xf borderId="4" fillId="2" fontId="12" numFmtId="165" xfId="0" applyAlignment="1" applyBorder="1" applyFont="1" applyNumberFormat="1">
      <alignment horizontal="center" shrinkToFit="0" wrapText="1"/>
    </xf>
    <xf borderId="8" fillId="0" fontId="10" numFmtId="0" xfId="0" applyAlignment="1" applyBorder="1" applyFont="1">
      <alignment horizontal="center" shrinkToFit="0" wrapText="1"/>
    </xf>
    <xf borderId="7" fillId="0" fontId="10" numFmtId="0" xfId="0" applyAlignment="1" applyBorder="1" applyFont="1">
      <alignment horizontal="center" shrinkToFit="0" wrapText="1"/>
    </xf>
    <xf borderId="7" fillId="3" fontId="11" numFmtId="164" xfId="0" applyAlignment="1" applyBorder="1" applyFont="1" applyNumberFormat="1">
      <alignment horizontal="center" shrinkToFit="0" wrapText="1"/>
    </xf>
    <xf borderId="7" fillId="0" fontId="10" numFmtId="164" xfId="0" applyAlignment="1" applyBorder="1" applyFont="1" applyNumberFormat="1">
      <alignment horizontal="center" shrinkToFit="0" wrapText="1"/>
    </xf>
    <xf borderId="0" fillId="0" fontId="1" numFmtId="0" xfId="0" applyAlignment="1" applyFont="1">
      <alignment vertical="bottom"/>
    </xf>
    <xf borderId="9" fillId="0" fontId="1" numFmtId="0" xfId="0" applyAlignment="1" applyBorder="1" applyFont="1">
      <alignment vertical="bottom"/>
    </xf>
    <xf borderId="2" fillId="5" fontId="13" numFmtId="0" xfId="0" applyAlignment="1" applyBorder="1" applyFont="1">
      <alignment horizontal="center" readingOrder="0"/>
    </xf>
    <xf borderId="1" fillId="5" fontId="13" numFmtId="0" xfId="0" applyAlignment="1" applyBorder="1" applyFont="1">
      <alignment horizontal="center" readingOrder="0"/>
    </xf>
    <xf borderId="1" fillId="5" fontId="13" numFmtId="0" xfId="0" applyAlignment="1" applyBorder="1" applyFont="1">
      <alignment horizontal="center" readingOrder="0" shrinkToFit="0" wrapText="1"/>
    </xf>
    <xf borderId="0" fillId="3" fontId="14" numFmtId="0" xfId="0" applyAlignment="1" applyFont="1">
      <alignment vertical="bottom"/>
    </xf>
    <xf borderId="1" fillId="0" fontId="13" numFmtId="0" xfId="0" applyAlignment="1" applyBorder="1" applyFont="1">
      <alignment shrinkToFit="0" vertical="bottom" wrapText="1"/>
    </xf>
    <xf borderId="1" fillId="0" fontId="13" numFmtId="0" xfId="0" applyAlignment="1" applyBorder="1" applyFont="1">
      <alignment horizontal="center" readingOrder="0" vertical="center"/>
    </xf>
    <xf borderId="1" fillId="6" fontId="15" numFmtId="165" xfId="0" applyAlignment="1" applyBorder="1" applyFill="1" applyFont="1" applyNumberFormat="1">
      <alignment horizontal="center" readingOrder="0" vertical="center"/>
    </xf>
    <xf borderId="1" fillId="6" fontId="15" numFmtId="165" xfId="0" applyAlignment="1" applyBorder="1" applyFont="1" applyNumberFormat="1">
      <alignment horizontal="center" vertical="center"/>
    </xf>
    <xf borderId="1" fillId="0" fontId="13" numFmtId="164" xfId="0" applyAlignment="1" applyBorder="1" applyFont="1" applyNumberFormat="1">
      <alignment horizontal="center" vertical="center"/>
    </xf>
    <xf borderId="1" fillId="0" fontId="13" numFmtId="165" xfId="0" applyAlignment="1" applyBorder="1" applyFont="1" applyNumberFormat="1">
      <alignment horizontal="center" readingOrder="0" shrinkToFit="0" vertical="center" wrapText="1"/>
    </xf>
    <xf borderId="1" fillId="0" fontId="13" numFmtId="165" xfId="0" applyAlignment="1" applyBorder="1" applyFont="1" applyNumberFormat="1">
      <alignment horizontal="center" vertical="center"/>
    </xf>
    <xf borderId="1" fillId="0" fontId="13" numFmtId="165" xfId="0" applyAlignment="1" applyBorder="1" applyFont="1" applyNumberFormat="1">
      <alignment horizontal="center" readingOrder="0" vertical="center"/>
    </xf>
    <xf borderId="1" fillId="0" fontId="13" numFmtId="0" xfId="0" applyAlignment="1" applyBorder="1" applyFont="1">
      <alignment readingOrder="0" shrinkToFit="0" vertical="bottom" wrapText="1"/>
    </xf>
    <xf borderId="1" fillId="0" fontId="13" numFmtId="164" xfId="0" applyAlignment="1" applyBorder="1" applyFont="1" applyNumberFormat="1">
      <alignment horizontal="center" readingOrder="0" vertical="center"/>
    </xf>
    <xf borderId="1" fillId="3" fontId="13" numFmtId="165" xfId="0" applyAlignment="1" applyBorder="1" applyFont="1" applyNumberFormat="1">
      <alignment horizontal="center" readingOrder="0" vertical="center"/>
    </xf>
    <xf borderId="1" fillId="3" fontId="13" numFmtId="165" xfId="0" applyAlignment="1" applyBorder="1" applyFont="1" applyNumberFormat="1">
      <alignment horizontal="center" vertical="center"/>
    </xf>
    <xf borderId="1" fillId="0" fontId="13" numFmtId="0" xfId="0" applyAlignment="1" applyBorder="1" applyFont="1">
      <alignment horizontal="center" readingOrder="0"/>
    </xf>
    <xf borderId="1" fillId="0" fontId="13" numFmtId="0" xfId="0" applyAlignment="1" applyBorder="1" applyFont="1">
      <alignment shrinkToFit="0" vertical="bottom" wrapText="1"/>
    </xf>
    <xf borderId="0" fillId="3" fontId="15" numFmtId="164" xfId="0" applyAlignment="1" applyFont="1" applyNumberFormat="1">
      <alignment horizontal="center" readingOrder="0"/>
    </xf>
    <xf borderId="1" fillId="3" fontId="15" numFmtId="164" xfId="0" applyAlignment="1" applyBorder="1" applyFont="1" applyNumberFormat="1">
      <alignment horizontal="center" readingOrder="0"/>
    </xf>
    <xf borderId="10" fillId="0" fontId="13" numFmtId="164" xfId="0" applyAlignment="1" applyBorder="1" applyFont="1" applyNumberFormat="1">
      <alignment horizontal="center" vertical="center"/>
    </xf>
    <xf borderId="1" fillId="0" fontId="13" numFmtId="0" xfId="0" applyAlignment="1" applyBorder="1" applyFont="1">
      <alignment horizontal="center" readingOrder="0" shrinkToFit="0" vertical="center" wrapText="1"/>
    </xf>
    <xf borderId="1" fillId="4" fontId="13" numFmtId="164" xfId="0" applyAlignment="1" applyBorder="1" applyFont="1" applyNumberFormat="1">
      <alignment horizontal="center"/>
    </xf>
    <xf borderId="0" fillId="3" fontId="12" numFmtId="0" xfId="0" applyAlignment="1" applyFont="1">
      <alignment horizontal="center" readingOrder="0" shrinkToFit="0" vertical="center" wrapText="1"/>
    </xf>
    <xf borderId="0" fillId="3" fontId="12" numFmtId="0" xfId="0" applyAlignment="1" applyFont="1">
      <alignment horizontal="center" shrinkToFit="0" vertical="center" wrapText="1"/>
    </xf>
    <xf borderId="1" fillId="2" fontId="12" numFmtId="0" xfId="0" applyAlignment="1" applyBorder="1" applyFont="1">
      <alignment horizontal="center" readingOrder="0" shrinkToFit="0" vertical="center" wrapText="1"/>
    </xf>
    <xf borderId="1" fillId="2" fontId="12" numFmtId="164" xfId="0" applyAlignment="1" applyBorder="1" applyFont="1" applyNumberFormat="1">
      <alignment horizontal="center" shrinkToFit="0" vertical="center" wrapText="1"/>
    </xf>
    <xf borderId="1" fillId="0" fontId="10" numFmtId="0" xfId="0" applyAlignment="1" applyBorder="1" applyFont="1">
      <alignment horizontal="center" shrinkToFit="0" vertical="center" wrapText="1"/>
    </xf>
    <xf borderId="1" fillId="3" fontId="11" numFmtId="164" xfId="0" applyAlignment="1" applyBorder="1" applyFont="1" applyNumberFormat="1">
      <alignment horizontal="center" shrinkToFit="0" vertical="center" wrapText="1"/>
    </xf>
    <xf borderId="1" fillId="0" fontId="11" numFmtId="164" xfId="0" applyAlignment="1" applyBorder="1" applyFont="1" applyNumberFormat="1">
      <alignment horizontal="center" shrinkToFit="0" vertical="center" wrapText="1"/>
    </xf>
    <xf borderId="1" fillId="0" fontId="10" numFmtId="0" xfId="0" applyAlignment="1" applyBorder="1" applyFont="1">
      <alignment horizontal="center" shrinkToFit="0" vertical="center" wrapText="1"/>
    </xf>
    <xf borderId="1" fillId="3" fontId="16" numFmtId="164" xfId="0" applyAlignment="1" applyBorder="1" applyFont="1" applyNumberFormat="1">
      <alignment horizontal="center" vertical="center"/>
    </xf>
    <xf borderId="1" fillId="4" fontId="13" numFmtId="0" xfId="0" applyAlignment="1" applyBorder="1" applyFont="1">
      <alignment horizontal="center" readingOrder="0" shrinkToFit="0" vertical="center" wrapText="1"/>
    </xf>
    <xf borderId="1" fillId="4" fontId="13" numFmtId="0" xfId="0" applyAlignment="1" applyBorder="1" applyFont="1">
      <alignment horizontal="center" readingOrder="0" vertical="center"/>
    </xf>
    <xf borderId="1" fillId="4" fontId="13" numFmtId="164" xfId="0" applyAlignment="1" applyBorder="1" applyFont="1" applyNumberFormat="1">
      <alignment horizontal="center" vertical="center"/>
    </xf>
    <xf borderId="0" fillId="0" fontId="17" numFmtId="0" xfId="0" applyAlignment="1" applyFont="1">
      <alignment horizontal="center" readingOrder="0"/>
    </xf>
    <xf borderId="3" fillId="0" fontId="17" numFmtId="0" xfId="0" applyAlignment="1" applyBorder="1" applyFont="1">
      <alignment horizontal="center" readingOrder="0"/>
    </xf>
    <xf borderId="10" fillId="2" fontId="18" numFmtId="0" xfId="0" applyAlignment="1" applyBorder="1" applyFont="1">
      <alignment horizontal="center" readingOrder="0" shrinkToFit="0" vertical="center" wrapText="1"/>
    </xf>
    <xf borderId="0" fillId="3" fontId="19" numFmtId="4" xfId="0" applyAlignment="1" applyFont="1" applyNumberFormat="1">
      <alignment readingOrder="0"/>
    </xf>
    <xf borderId="8" fillId="0" fontId="8" numFmtId="0" xfId="0" applyBorder="1" applyFont="1"/>
    <xf borderId="0" fillId="0" fontId="20" numFmtId="0" xfId="0" applyFont="1"/>
    <xf borderId="1" fillId="0" fontId="13" numFmtId="0" xfId="0" applyAlignment="1" applyBorder="1" applyFont="1">
      <alignment horizontal="center" readingOrder="0" shrinkToFit="0" wrapText="1"/>
    </xf>
    <xf borderId="1" fillId="0" fontId="11" numFmtId="0" xfId="0" applyAlignment="1" applyBorder="1" applyFont="1">
      <alignment horizontal="center" readingOrder="0"/>
    </xf>
    <xf borderId="1" fillId="0" fontId="13" numFmtId="164" xfId="0" applyAlignment="1" applyBorder="1" applyFont="1" applyNumberFormat="1">
      <alignment horizontal="center"/>
    </xf>
    <xf borderId="11" fillId="0" fontId="1" numFmtId="0" xfId="0" applyBorder="1" applyFont="1"/>
    <xf borderId="12" fillId="0" fontId="8" numFmtId="0" xfId="0" applyBorder="1" applyFont="1"/>
    <xf borderId="13" fillId="0" fontId="8" numFmtId="0" xfId="0" applyBorder="1" applyFont="1"/>
    <xf borderId="14" fillId="0" fontId="8" numFmtId="0" xfId="0" applyBorder="1" applyFont="1"/>
    <xf borderId="9" fillId="0" fontId="8" numFmtId="0" xfId="0" applyBorder="1" applyFont="1"/>
    <xf borderId="10" fillId="0" fontId="13" numFmtId="0" xfId="0" applyAlignment="1" applyBorder="1" applyFont="1">
      <alignment horizontal="center" readingOrder="0" shrinkToFit="0" wrapText="1"/>
    </xf>
    <xf borderId="10" fillId="0" fontId="13" numFmtId="0" xfId="0" applyAlignment="1" applyBorder="1" applyFont="1">
      <alignment horizontal="center" readingOrder="0"/>
    </xf>
    <xf borderId="10" fillId="0" fontId="11" numFmtId="0" xfId="0" applyAlignment="1" applyBorder="1" applyFont="1">
      <alignment horizontal="center" readingOrder="0"/>
    </xf>
    <xf borderId="10" fillId="0" fontId="13" numFmtId="164" xfId="0" applyAlignment="1" applyBorder="1" applyFont="1" applyNumberFormat="1">
      <alignment horizontal="center"/>
    </xf>
    <xf borderId="5" fillId="0" fontId="8" numFmtId="0" xfId="0" applyBorder="1" applyFont="1"/>
    <xf borderId="12" fillId="0" fontId="13" numFmtId="0" xfId="0" applyAlignment="1" applyBorder="1" applyFont="1">
      <alignment horizontal="center" readingOrder="0" shrinkToFit="0" wrapText="1"/>
    </xf>
    <xf borderId="12" fillId="0" fontId="13" numFmtId="0" xfId="0" applyAlignment="1" applyBorder="1" applyFont="1">
      <alignment horizontal="center" readingOrder="0"/>
    </xf>
    <xf borderId="12" fillId="0" fontId="11" numFmtId="0" xfId="0" applyAlignment="1" applyBorder="1" applyFont="1">
      <alignment horizontal="center" readingOrder="0"/>
    </xf>
    <xf borderId="12" fillId="0" fontId="13" numFmtId="164" xfId="0" applyAlignment="1" applyBorder="1" applyFont="1" applyNumberFormat="1">
      <alignment horizontal="center"/>
    </xf>
    <xf borderId="12" fillId="0" fontId="13" numFmtId="0" xfId="0" applyAlignment="1" applyBorder="1" applyFont="1">
      <alignment horizontal="center"/>
    </xf>
    <xf borderId="0" fillId="3" fontId="11" numFmtId="0" xfId="0" applyAlignment="1" applyFont="1">
      <alignment horizontal="center" readingOrder="0"/>
    </xf>
    <xf borderId="0" fillId="0" fontId="13" numFmtId="164" xfId="0" applyAlignment="1" applyFont="1" applyNumberFormat="1">
      <alignment horizontal="center"/>
    </xf>
    <xf borderId="0" fillId="0" fontId="13" numFmtId="0" xfId="0" applyAlignment="1" applyFont="1">
      <alignment horizontal="center"/>
    </xf>
    <xf borderId="1" fillId="7" fontId="13" numFmtId="0" xfId="0" applyAlignment="1" applyBorder="1" applyFill="1" applyFont="1">
      <alignment horizontal="center" readingOrder="0" shrinkToFit="0" vertical="center" wrapText="1"/>
    </xf>
    <xf borderId="1" fillId="7" fontId="13" numFmtId="164" xfId="0" applyAlignment="1" applyBorder="1" applyFont="1" applyNumberFormat="1">
      <alignment horizontal="center" vertical="center"/>
    </xf>
    <xf borderId="0" fillId="0" fontId="11" numFmtId="0" xfId="0" applyAlignment="1" applyFont="1">
      <alignment horizontal="center" readingOrder="0"/>
    </xf>
    <xf borderId="1" fillId="0" fontId="13" numFmtId="0" xfId="0" applyAlignment="1" applyBorder="1" applyFont="1">
      <alignment horizontal="center" shrinkToFit="0" vertical="bottom" wrapText="1"/>
    </xf>
    <xf borderId="4" fillId="0" fontId="10" numFmtId="0" xfId="0" applyAlignment="1" applyBorder="1" applyFont="1">
      <alignment horizontal="center" vertical="bottom"/>
    </xf>
    <xf borderId="1" fillId="3" fontId="21" numFmtId="164" xfId="0" applyAlignment="1" applyBorder="1" applyFont="1" applyNumberFormat="1">
      <alignment horizontal="center" vertical="center"/>
    </xf>
    <xf borderId="1" fillId="0" fontId="15" numFmtId="164" xfId="0" applyAlignment="1" applyBorder="1" applyFont="1" applyNumberFormat="1">
      <alignment horizontal="center" vertical="center"/>
    </xf>
    <xf borderId="0" fillId="0" fontId="13" numFmtId="0" xfId="0" applyAlignment="1" applyFont="1">
      <alignment horizontal="center" readingOrder="0"/>
    </xf>
    <xf borderId="8" fillId="0" fontId="13" numFmtId="0" xfId="0" applyAlignment="1" applyBorder="1" applyFont="1">
      <alignment horizontal="center" shrinkToFit="0" vertical="bottom" wrapText="1"/>
    </xf>
    <xf borderId="7" fillId="0" fontId="10" numFmtId="0" xfId="0" applyAlignment="1" applyBorder="1" applyFont="1">
      <alignment horizontal="center" vertical="bottom"/>
    </xf>
    <xf borderId="8" fillId="0" fontId="13" numFmtId="0" xfId="0" applyAlignment="1" applyBorder="1" applyFont="1">
      <alignment horizontal="center" readingOrder="0" shrinkToFit="0" vertical="bottom" wrapText="1"/>
    </xf>
    <xf borderId="0" fillId="0" fontId="1" numFmtId="0" xfId="0" applyAlignment="1" applyFont="1">
      <alignment horizontal="center" vertical="bottom"/>
    </xf>
    <xf borderId="9" fillId="0" fontId="1" numFmtId="0" xfId="0" applyAlignment="1" applyBorder="1" applyFont="1">
      <alignment horizontal="center" vertical="bottom"/>
    </xf>
    <xf borderId="1" fillId="7" fontId="13" numFmtId="0" xfId="0" applyAlignment="1" applyBorder="1" applyFont="1">
      <alignment horizontal="center" shrinkToFit="0" wrapText="1"/>
    </xf>
    <xf borderId="4" fillId="7" fontId="13" numFmtId="164" xfId="0" applyAlignment="1" applyBorder="1" applyFont="1" applyNumberFormat="1">
      <alignment horizontal="center"/>
    </xf>
    <xf borderId="7" fillId="7" fontId="10" numFmtId="164" xfId="0" applyAlignment="1" applyBorder="1" applyFont="1" applyNumberFormat="1">
      <alignment horizontal="center" vertical="bottom"/>
    </xf>
    <xf borderId="0" fillId="0" fontId="13" numFmtId="0" xfId="0" applyAlignment="1" applyFont="1">
      <alignment horizontal="center" readingOrder="0" shrinkToFit="0" wrapText="1"/>
    </xf>
    <xf borderId="0" fillId="0" fontId="10" numFmtId="0" xfId="0" applyAlignment="1" applyFont="1">
      <alignment shrinkToFit="0" wrapText="1"/>
    </xf>
    <xf borderId="0" fillId="0" fontId="10" numFmtId="0" xfId="0" applyAlignment="1" applyFont="1">
      <alignment readingOrder="0"/>
    </xf>
    <xf borderId="0" fillId="0" fontId="10" numFmtId="0" xfId="0" applyAlignment="1" applyFont="1">
      <alignment shrinkToFit="0" vertical="center" wrapText="1"/>
    </xf>
    <xf borderId="0" fillId="3" fontId="22" numFmtId="0" xfId="0" applyAlignment="1" applyFont="1">
      <alignment horizontal="center" readingOrder="0"/>
    </xf>
    <xf borderId="0" fillId="3" fontId="10" numFmtId="0" xfId="0" applyFont="1"/>
    <xf borderId="0" fillId="3" fontId="10" numFmtId="0" xfId="0" applyAlignment="1" applyFont="1">
      <alignment readingOrder="0"/>
    </xf>
    <xf borderId="0" fillId="3" fontId="10" numFmtId="164" xfId="0" applyFont="1" applyNumberFormat="1"/>
    <xf borderId="2" fillId="2" fontId="23" numFmtId="0" xfId="0" applyAlignment="1" applyBorder="1" applyFont="1">
      <alignment horizontal="center" readingOrder="0" vertical="center"/>
    </xf>
    <xf borderId="10" fillId="2" fontId="23" numFmtId="0" xfId="0" applyAlignment="1" applyBorder="1" applyFont="1">
      <alignment horizontal="center" readingOrder="0" shrinkToFit="0" vertical="center" wrapText="1"/>
    </xf>
    <xf borderId="15" fillId="2" fontId="23" numFmtId="0" xfId="0" applyAlignment="1" applyBorder="1" applyFont="1">
      <alignment horizontal="center" readingOrder="0" shrinkToFit="0" vertical="center" wrapText="1"/>
    </xf>
    <xf borderId="1" fillId="0" fontId="2" numFmtId="0" xfId="0" applyAlignment="1" applyBorder="1" applyFont="1">
      <alignment horizontal="center" readingOrder="0" shrinkToFit="0" vertical="center" wrapText="1"/>
    </xf>
    <xf borderId="0" fillId="6" fontId="4" numFmtId="165" xfId="0" applyAlignment="1" applyFont="1" applyNumberFormat="1">
      <alignment horizontal="center" readingOrder="0"/>
    </xf>
    <xf borderId="1" fillId="6" fontId="4" numFmtId="165" xfId="0" applyAlignment="1" applyBorder="1" applyFont="1" applyNumberFormat="1">
      <alignment horizontal="center" readingOrder="0"/>
    </xf>
    <xf borderId="1" fillId="3" fontId="15" numFmtId="165" xfId="0" applyAlignment="1" applyBorder="1" applyFont="1" applyNumberFormat="1">
      <alignment horizontal="center" readingOrder="0" vertical="center"/>
    </xf>
    <xf borderId="1" fillId="0" fontId="2" numFmtId="0" xfId="0" applyAlignment="1" applyBorder="1" applyFont="1">
      <alignment horizontal="center" readingOrder="0" shrinkToFit="0" wrapText="1"/>
    </xf>
    <xf borderId="1" fillId="4" fontId="13" numFmtId="0" xfId="0" applyAlignment="1" applyBorder="1" applyFont="1">
      <alignment horizontal="center" readingOrder="0"/>
    </xf>
    <xf borderId="1" fillId="4" fontId="13" numFmtId="165" xfId="0" applyAlignment="1" applyBorder="1" applyFont="1" applyNumberFormat="1">
      <alignment horizontal="center"/>
    </xf>
    <xf borderId="0" fillId="3" fontId="9" numFmtId="4" xfId="0" applyAlignment="1" applyFont="1" applyNumberFormat="1">
      <alignment horizontal="center" readingOrder="0" vertical="top"/>
    </xf>
    <xf borderId="1" fillId="2" fontId="18" numFmtId="0" xfId="0" applyAlignment="1" applyBorder="1" applyFont="1">
      <alignment horizontal="center" readingOrder="0" shrinkToFit="0" vertical="center" wrapText="1"/>
    </xf>
    <xf borderId="0" fillId="3" fontId="1" numFmtId="0" xfId="0" applyAlignment="1" applyFont="1">
      <alignment horizontal="center" readingOrder="0" shrinkToFit="0" vertical="center" wrapText="1"/>
    </xf>
    <xf borderId="0" fillId="3" fontId="1" numFmtId="0" xfId="0" applyAlignment="1" applyFont="1">
      <alignment horizontal="center" vertical="center"/>
    </xf>
    <xf borderId="1" fillId="3" fontId="24" numFmtId="165" xfId="0" applyAlignment="1" applyBorder="1" applyFont="1" applyNumberFormat="1">
      <alignment horizontal="center" vertical="center"/>
    </xf>
    <xf borderId="1" fillId="0" fontId="0" numFmtId="165" xfId="0" applyAlignment="1" applyBorder="1" applyFont="1" applyNumberFormat="1">
      <alignment horizontal="center" vertical="center"/>
    </xf>
    <xf borderId="0" fillId="0" fontId="25" numFmtId="0" xfId="0" applyFont="1"/>
    <xf borderId="13" fillId="0" fontId="1" numFmtId="0" xfId="0" applyBorder="1" applyFont="1"/>
    <xf borderId="4" fillId="4" fontId="13" numFmtId="0" xfId="0" applyAlignment="1" applyBorder="1" applyFont="1">
      <alignment horizontal="center" readingOrder="0" shrinkToFit="0" wrapText="1"/>
    </xf>
    <xf borderId="1" fillId="4" fontId="26" numFmtId="165" xfId="0" applyAlignment="1" applyBorder="1" applyFont="1" applyNumberFormat="1">
      <alignment horizontal="center"/>
    </xf>
    <xf borderId="1" fillId="7" fontId="1" numFmtId="0" xfId="0" applyAlignment="1" applyBorder="1" applyFont="1">
      <alignment horizontal="center" readingOrder="0" shrinkToFit="0" vertical="center" wrapText="1"/>
    </xf>
    <xf borderId="1" fillId="7" fontId="26" numFmtId="165" xfId="0" applyAlignment="1" applyBorder="1" applyFont="1" applyNumberFormat="1">
      <alignment horizontal="center" vertical="center"/>
    </xf>
    <xf borderId="9" fillId="0" fontId="17" numFmtId="0" xfId="0" applyAlignment="1" applyBorder="1" applyFont="1">
      <alignment horizontal="center" readingOrder="0"/>
    </xf>
    <xf borderId="3" fillId="2" fontId="23" numFmtId="0" xfId="0" applyAlignment="1" applyBorder="1" applyFont="1">
      <alignment horizontal="center" readingOrder="0" vertical="center"/>
    </xf>
    <xf borderId="0" fillId="0" fontId="27" numFmtId="0" xfId="0" applyAlignment="1" applyFont="1">
      <alignment horizontal="center" readingOrder="0" shrinkToFit="0" vertical="top" wrapText="0"/>
    </xf>
    <xf borderId="0" fillId="0" fontId="27" numFmtId="0" xfId="0" applyAlignment="1" applyFont="1">
      <alignment readingOrder="0" shrinkToFit="0" vertical="top" wrapText="0"/>
    </xf>
    <xf borderId="0" fillId="0" fontId="28" numFmtId="0" xfId="0" applyAlignment="1" applyFont="1">
      <alignment vertical="top"/>
    </xf>
    <xf borderId="0" fillId="0" fontId="28" numFmtId="0" xfId="0" applyAlignment="1" applyFont="1">
      <alignment horizontal="left" shrinkToFit="0" vertical="top" wrapText="0"/>
    </xf>
    <xf borderId="0" fillId="0" fontId="29" numFmtId="0" xfId="0" applyAlignment="1" applyFont="1">
      <alignment horizontal="center" readingOrder="0" shrinkToFit="0" vertical="top" wrapText="0"/>
    </xf>
    <xf borderId="0" fillId="0" fontId="29" numFmtId="0" xfId="0" applyAlignment="1" applyFont="1">
      <alignment readingOrder="0" shrinkToFit="0" vertical="top" wrapText="0"/>
    </xf>
    <xf borderId="0" fillId="8" fontId="30" numFmtId="0" xfId="0" applyAlignment="1" applyFill="1" applyFont="1">
      <alignment readingOrder="0" vertical="top"/>
    </xf>
    <xf borderId="0" fillId="8" fontId="30" numFmtId="0" xfId="0" applyAlignment="1" applyFont="1">
      <alignment horizontal="left" readingOrder="0" shrinkToFit="0" vertical="top" wrapText="0"/>
    </xf>
    <xf borderId="0" fillId="0" fontId="28" numFmtId="0" xfId="0" applyAlignment="1" applyFont="1">
      <alignment readingOrder="0" vertical="top"/>
    </xf>
    <xf borderId="0" fillId="0" fontId="28" numFmtId="0" xfId="0" applyAlignment="1" applyFont="1">
      <alignment readingOrder="0" shrinkToFit="0" vertical="top" wrapText="1"/>
    </xf>
    <xf borderId="0" fillId="0" fontId="28" numFmtId="164" xfId="0" applyAlignment="1" applyFont="1" applyNumberFormat="1">
      <alignment horizontal="left" readingOrder="0" shrinkToFit="0" vertical="top" wrapText="0"/>
    </xf>
    <xf borderId="0" fillId="0" fontId="28" numFmtId="0" xfId="0" applyAlignment="1" applyFont="1">
      <alignment vertical="top"/>
    </xf>
    <xf borderId="0" fillId="0" fontId="30" numFmtId="0" xfId="0" applyAlignment="1" applyFont="1">
      <alignment readingOrder="0" vertical="top"/>
    </xf>
    <xf borderId="0" fillId="0" fontId="30" numFmtId="164" xfId="0" applyAlignment="1" applyFont="1" applyNumberFormat="1">
      <alignment horizontal="left" readingOrder="0" shrinkToFit="0" vertical="top" wrapText="0"/>
    </xf>
    <xf borderId="10" fillId="0" fontId="2" numFmtId="0" xfId="0" applyAlignment="1" applyBorder="1" applyFont="1">
      <alignment horizontal="center" readingOrder="0" shrinkToFit="0" vertical="center" wrapText="1"/>
    </xf>
    <xf borderId="10" fillId="3" fontId="15" numFmtId="165" xfId="0" applyAlignment="1" applyBorder="1" applyFont="1" applyNumberFormat="1">
      <alignment horizontal="center" readingOrder="0" vertical="center"/>
    </xf>
    <xf borderId="3" fillId="0" fontId="30" numFmtId="0" xfId="0" applyAlignment="1" applyBorder="1" applyFont="1">
      <alignment readingOrder="0" vertical="top"/>
    </xf>
    <xf borderId="3" fillId="0" fontId="30" numFmtId="164" xfId="0" applyAlignment="1" applyBorder="1" applyFont="1" applyNumberFormat="1">
      <alignment horizontal="left" readingOrder="0" shrinkToFit="0" vertical="top" wrapText="0"/>
    </xf>
    <xf borderId="3" fillId="0" fontId="31" numFmtId="164" xfId="0" applyAlignment="1" applyBorder="1" applyFont="1" applyNumberFormat="1">
      <alignment horizontal="left" readingOrder="0" shrinkToFit="0" vertical="top" wrapText="0"/>
    </xf>
    <xf borderId="12" fillId="0" fontId="2" numFmtId="0" xfId="0" applyAlignment="1" applyBorder="1" applyFont="1">
      <alignment horizontal="center" readingOrder="0" shrinkToFit="0" wrapText="1"/>
    </xf>
    <xf borderId="12" fillId="0" fontId="2" numFmtId="0" xfId="0" applyAlignment="1" applyBorder="1" applyFont="1">
      <alignment horizontal="center" readingOrder="0" shrinkToFit="0" vertical="center" wrapText="1"/>
    </xf>
    <xf borderId="12" fillId="3" fontId="15" numFmtId="165" xfId="0" applyAlignment="1" applyBorder="1" applyFont="1" applyNumberFormat="1">
      <alignment horizontal="center" readingOrder="0" vertical="center"/>
    </xf>
    <xf borderId="9" fillId="4" fontId="13" numFmtId="0" xfId="0" applyAlignment="1" applyBorder="1" applyFont="1">
      <alignment horizontal="center" readingOrder="0"/>
    </xf>
    <xf borderId="15" fillId="4" fontId="13" numFmtId="0" xfId="0" applyAlignment="1" applyBorder="1" applyFont="1">
      <alignment horizontal="center" readingOrder="0"/>
    </xf>
    <xf borderId="15" fillId="4" fontId="13" numFmtId="165" xfId="0" applyAlignment="1" applyBorder="1" applyFont="1" applyNumberFormat="1">
      <alignment horizontal="center"/>
    </xf>
    <xf borderId="0" fillId="0" fontId="28" numFmtId="164" xfId="0" applyAlignment="1" applyFont="1" applyNumberFormat="1">
      <alignment horizontal="left" shrinkToFit="0" vertical="top" wrapText="0"/>
    </xf>
    <xf borderId="0" fillId="0" fontId="2" numFmtId="0" xfId="0" applyAlignment="1" applyFont="1">
      <alignment horizontal="center" readingOrder="0" shrinkToFit="0" wrapText="1"/>
    </xf>
    <xf borderId="0" fillId="0" fontId="2" numFmtId="0" xfId="0" applyAlignment="1" applyFont="1">
      <alignment horizontal="center" readingOrder="0" shrinkToFit="0" vertical="center" wrapText="1"/>
    </xf>
    <xf borderId="0" fillId="3" fontId="15" numFmtId="165" xfId="0" applyAlignment="1" applyFont="1" applyNumberFormat="1">
      <alignment horizontal="center" readingOrder="0" vertical="center"/>
    </xf>
    <xf borderId="0" fillId="9" fontId="32" numFmtId="0" xfId="0" applyAlignment="1" applyFill="1" applyFont="1">
      <alignment readingOrder="0" vertical="top"/>
    </xf>
    <xf borderId="0" fillId="9" fontId="32" numFmtId="0" xfId="0" applyAlignment="1" applyFont="1">
      <alignment vertical="top"/>
    </xf>
    <xf borderId="0" fillId="9" fontId="32" numFmtId="0" xfId="0" applyAlignment="1" applyFont="1">
      <alignment horizontal="left" shrinkToFit="0" vertical="top" wrapText="0"/>
    </xf>
    <xf borderId="0" fillId="9" fontId="32" numFmtId="0" xfId="0" applyAlignment="1" applyFont="1">
      <alignment vertical="top"/>
    </xf>
    <xf borderId="0" fillId="9" fontId="32" numFmtId="0" xfId="0" applyAlignment="1" applyFont="1">
      <alignment horizontal="left" shrinkToFit="0" vertical="top" wrapText="0"/>
    </xf>
    <xf borderId="0" fillId="3" fontId="32" numFmtId="0" xfId="0" applyAlignment="1" applyFont="1">
      <alignment vertical="top"/>
    </xf>
    <xf borderId="0" fillId="3" fontId="32" numFmtId="0" xfId="0" applyAlignment="1" applyFont="1">
      <alignment horizontal="left" shrinkToFit="0" vertical="top" wrapText="0"/>
    </xf>
    <xf borderId="1" fillId="0" fontId="33" numFmtId="165" xfId="0" applyAlignment="1" applyBorder="1" applyFont="1" applyNumberFormat="1">
      <alignment horizontal="center" vertical="center"/>
    </xf>
    <xf borderId="4" fillId="4" fontId="13" numFmtId="0" xfId="0" applyAlignment="1" applyBorder="1" applyFont="1">
      <alignment horizontal="center" readingOrder="0" shrinkToFit="0" vertical="center" wrapText="1"/>
    </xf>
    <xf borderId="1" fillId="4" fontId="13" numFmtId="165" xfId="0" applyAlignment="1" applyBorder="1" applyFont="1" applyNumberFormat="1">
      <alignment horizontal="center" vertical="center"/>
    </xf>
    <xf borderId="1" fillId="7" fontId="1" numFmtId="165" xfId="0" applyAlignment="1" applyBorder="1" applyFont="1" applyNumberFormat="1">
      <alignment horizontal="center" vertical="center"/>
    </xf>
    <xf borderId="0" fillId="0" fontId="1" numFmtId="164" xfId="0" applyFont="1" applyNumberFormat="1"/>
    <xf borderId="0" fillId="0" fontId="34" numFmtId="0" xfId="0" applyAlignment="1" applyFont="1">
      <alignment readingOrder="0"/>
    </xf>
    <xf borderId="2" fillId="2" fontId="17" numFmtId="0" xfId="0" applyAlignment="1" applyBorder="1" applyFont="1">
      <alignment horizontal="center" readingOrder="0"/>
    </xf>
    <xf borderId="10" fillId="2" fontId="18" numFmtId="0" xfId="0" applyAlignment="1" applyBorder="1" applyFont="1">
      <alignment horizontal="center" readingOrder="0" shrinkToFit="0" wrapText="1"/>
    </xf>
    <xf borderId="10" fillId="10" fontId="18" numFmtId="0" xfId="0" applyAlignment="1" applyBorder="1" applyFill="1" applyFont="1">
      <alignment horizontal="center" readingOrder="0" shrinkToFit="0" vertical="center" wrapText="1"/>
    </xf>
    <xf borderId="1" fillId="0" fontId="10" numFmtId="0" xfId="0" applyAlignment="1" applyBorder="1" applyFont="1">
      <alignment shrinkToFit="0" wrapText="1"/>
    </xf>
    <xf borderId="1" fillId="0" fontId="10" numFmtId="0" xfId="0" applyAlignment="1" applyBorder="1" applyFont="1">
      <alignment readingOrder="0"/>
    </xf>
    <xf borderId="1" fillId="0" fontId="10" numFmtId="0" xfId="0" applyAlignment="1" applyBorder="1" applyFont="1">
      <alignment horizontal="center" readingOrder="0"/>
    </xf>
    <xf borderId="1" fillId="0" fontId="10" numFmtId="3" xfId="0" applyAlignment="1" applyBorder="1" applyFont="1" applyNumberFormat="1">
      <alignment readingOrder="0"/>
    </xf>
    <xf borderId="1" fillId="0" fontId="10" numFmtId="164" xfId="0" applyBorder="1" applyFont="1" applyNumberFormat="1"/>
    <xf borderId="1" fillId="0" fontId="10" numFmtId="0" xfId="0" applyAlignment="1" applyBorder="1" applyFont="1">
      <alignment horizontal="center"/>
    </xf>
    <xf borderId="1" fillId="0" fontId="35" numFmtId="0" xfId="0" applyAlignment="1" applyBorder="1" applyFont="1">
      <alignment horizontal="center" readingOrder="0"/>
    </xf>
    <xf borderId="10" fillId="3" fontId="36" numFmtId="0" xfId="0" applyAlignment="1" applyBorder="1" applyFont="1">
      <alignment horizontal="center" readingOrder="0"/>
    </xf>
    <xf borderId="1" fillId="0" fontId="10" numFmtId="0" xfId="0" applyBorder="1" applyFont="1"/>
    <xf borderId="1" fillId="2" fontId="13" numFmtId="0" xfId="0" applyAlignment="1" applyBorder="1" applyFont="1">
      <alignment horizontal="center" readingOrder="0"/>
    </xf>
    <xf borderId="1" fillId="2" fontId="13" numFmtId="164" xfId="0" applyAlignment="1" applyBorder="1" applyFont="1" applyNumberFormat="1">
      <alignment horizontal="center" readingOrder="0"/>
    </xf>
    <xf borderId="1" fillId="0" fontId="10" numFmtId="0" xfId="0" applyAlignment="1" applyBorder="1" applyFont="1">
      <alignment shrinkToFit="0" vertical="center" wrapText="1"/>
    </xf>
    <xf borderId="1" fillId="0" fontId="11" numFmtId="0" xfId="0" applyAlignment="1" applyBorder="1" applyFont="1">
      <alignment horizontal="center" readingOrder="0" shrinkToFit="0" vertical="center" wrapText="1"/>
    </xf>
    <xf borderId="1" fillId="0" fontId="11" numFmtId="164" xfId="0" applyAlignment="1" applyBorder="1" applyFont="1" applyNumberFormat="1">
      <alignment horizontal="center" readingOrder="0" shrinkToFit="0" vertical="center" wrapText="1"/>
    </xf>
    <xf borderId="1" fillId="0" fontId="10" numFmtId="164" xfId="0" applyAlignment="1" applyBorder="1" applyFont="1" applyNumberFormat="1">
      <alignment horizontal="center"/>
    </xf>
    <xf borderId="0" fillId="3" fontId="4" numFmtId="164" xfId="0" applyAlignment="1" applyFont="1" applyNumberFormat="1">
      <alignment horizontal="center"/>
    </xf>
    <xf borderId="1" fillId="0" fontId="11" numFmtId="0" xfId="0" applyAlignment="1" applyBorder="1" applyFont="1">
      <alignment horizontal="center" shrinkToFit="0" vertical="center" wrapText="1"/>
    </xf>
    <xf borderId="1" fillId="3" fontId="11" numFmtId="0" xfId="0" applyAlignment="1" applyBorder="1" applyFont="1">
      <alignment horizontal="center" readingOrder="0" shrinkToFit="0" vertical="center" wrapText="1"/>
    </xf>
    <xf borderId="0" fillId="3" fontId="36" numFmtId="0" xfId="0" applyAlignment="1" applyFont="1">
      <alignment horizontal="center" readingOrder="0"/>
    </xf>
    <xf borderId="10" fillId="0" fontId="10" numFmtId="0" xfId="0" applyAlignment="1" applyBorder="1" applyFont="1">
      <alignment shrinkToFit="0" wrapText="1"/>
    </xf>
    <xf borderId="10" fillId="0" fontId="10" numFmtId="0" xfId="0" applyAlignment="1" applyBorder="1" applyFont="1">
      <alignment readingOrder="0"/>
    </xf>
    <xf borderId="10" fillId="0" fontId="1" numFmtId="0" xfId="0" applyBorder="1" applyFont="1"/>
    <xf borderId="10" fillId="11" fontId="10" numFmtId="164" xfId="0" applyBorder="1" applyFill="1" applyFont="1" applyNumberFormat="1"/>
    <xf borderId="12" fillId="0" fontId="10" numFmtId="0" xfId="0" applyAlignment="1" applyBorder="1" applyFont="1">
      <alignment shrinkToFit="0" vertical="bottom" wrapText="0"/>
    </xf>
    <xf borderId="12" fillId="0" fontId="10" numFmtId="0" xfId="0" applyAlignment="1" applyBorder="1" applyFont="1">
      <alignment readingOrder="0"/>
    </xf>
    <xf borderId="12" fillId="0" fontId="10" numFmtId="0" xfId="0" applyAlignment="1" applyBorder="1" applyFont="1">
      <alignment horizontal="center"/>
    </xf>
    <xf borderId="12" fillId="0" fontId="10" numFmtId="0" xfId="0" applyAlignment="1" applyBorder="1" applyFont="1">
      <alignment horizontal="center" readingOrder="0"/>
    </xf>
    <xf borderId="12" fillId="0" fontId="10" numFmtId="0" xfId="0" applyBorder="1" applyFont="1"/>
    <xf borderId="0" fillId="0" fontId="35" numFmtId="0" xfId="0" applyAlignment="1" applyFont="1">
      <alignment horizontal="center" readingOrder="0"/>
    </xf>
    <xf borderId="0" fillId="0" fontId="10" numFmtId="0" xfId="0" applyAlignment="1" applyFont="1">
      <alignment horizontal="center"/>
    </xf>
    <xf borderId="0" fillId="0" fontId="10" numFmtId="0" xfId="0" applyAlignment="1" applyFont="1">
      <alignment horizontal="center" readingOrder="0"/>
    </xf>
    <xf borderId="0" fillId="0" fontId="13" numFmtId="0" xfId="0" applyAlignment="1" applyFont="1">
      <alignment horizontal="center" readingOrder="0" vertical="center"/>
    </xf>
    <xf borderId="0" fillId="0" fontId="1" numFmtId="0" xfId="0" applyAlignment="1" applyFont="1">
      <alignment horizontal="center" readingOrder="0" vertical="center"/>
    </xf>
    <xf borderId="0" fillId="0" fontId="1" numFmtId="0" xfId="0" applyAlignment="1" applyFont="1">
      <alignment horizontal="center" readingOrder="0"/>
    </xf>
    <xf borderId="0" fillId="0" fontId="13" numFmtId="0" xfId="0" applyAlignment="1" applyFont="1">
      <alignment horizontal="center" readingOrder="0" vertical="top"/>
    </xf>
    <xf borderId="0" fillId="3" fontId="10" numFmtId="0" xfId="0" applyAlignment="1" applyFont="1">
      <alignment shrinkToFit="0" wrapText="1"/>
    </xf>
    <xf borderId="0" fillId="3" fontId="17" numFmtId="0" xfId="0" applyAlignment="1" applyFont="1">
      <alignment horizontal="center" readingOrder="0" vertical="center"/>
    </xf>
    <xf borderId="0" fillId="3" fontId="9" numFmtId="164" xfId="0" applyAlignment="1" applyFont="1" applyNumberFormat="1">
      <alignment readingOrder="0"/>
    </xf>
    <xf borderId="0" fillId="3" fontId="17" numFmtId="0" xfId="0" applyAlignment="1" applyFont="1">
      <alignment horizontal="center" readingOrder="0" shrinkToFit="0" vertical="center" wrapText="1"/>
    </xf>
    <xf borderId="0" fillId="3" fontId="2" numFmtId="0" xfId="0" applyAlignment="1" applyFont="1">
      <alignment horizontal="center" readingOrder="0" shrinkToFit="0" vertical="center" wrapText="1"/>
    </xf>
    <xf borderId="0" fillId="3" fontId="1" numFmtId="0" xfId="0" applyAlignment="1" applyFont="1">
      <alignment horizontal="center" readingOrder="0"/>
    </xf>
    <xf borderId="0" fillId="3" fontId="13" numFmtId="166" xfId="0" applyAlignment="1" applyFont="1" applyNumberFormat="1">
      <alignment horizontal="center" readingOrder="0" shrinkToFit="0" vertical="center" wrapText="1"/>
    </xf>
    <xf borderId="0" fillId="3" fontId="1" numFmtId="0" xfId="0" applyAlignment="1" applyFont="1">
      <alignment horizontal="center"/>
    </xf>
    <xf borderId="0" fillId="3" fontId="13" numFmtId="0" xfId="0" applyAlignment="1" applyFont="1">
      <alignment horizontal="center" readingOrder="0" shrinkToFit="0" vertical="center" wrapText="1"/>
    </xf>
    <xf borderId="0" fillId="3" fontId="13" numFmtId="0" xfId="0" applyAlignment="1" applyFont="1">
      <alignment horizontal="center" readingOrder="0" vertical="center"/>
    </xf>
    <xf borderId="0" fillId="3" fontId="13" numFmtId="0" xfId="0" applyAlignment="1" applyFont="1">
      <alignment horizontal="center" readingOrder="0"/>
    </xf>
    <xf borderId="2" fillId="4" fontId="1" numFmtId="0" xfId="0" applyAlignment="1" applyBorder="1" applyFont="1">
      <alignment horizontal="center" readingOrder="0" shrinkToFit="0" vertical="center" wrapText="1"/>
    </xf>
    <xf borderId="1" fillId="2" fontId="1" numFmtId="0" xfId="0" applyAlignment="1" applyBorder="1" applyFont="1">
      <alignment horizontal="center" readingOrder="0" shrinkToFit="0" vertical="center" wrapText="1"/>
    </xf>
    <xf borderId="1" fillId="4" fontId="1" numFmtId="0" xfId="0" applyAlignment="1" applyBorder="1" applyFont="1">
      <alignment horizontal="center" readingOrder="0" shrinkToFit="0" vertical="center" wrapText="1"/>
    </xf>
    <xf borderId="1" fillId="0" fontId="1" numFmtId="0" xfId="0" applyAlignment="1" applyBorder="1" applyFont="1">
      <alignment horizontal="center" shrinkToFit="0" vertical="center" wrapText="1"/>
    </xf>
    <xf borderId="1" fillId="0" fontId="1" numFmtId="0" xfId="0" applyAlignment="1" applyBorder="1" applyFont="1">
      <alignment horizontal="center" readingOrder="0" shrinkToFit="0" vertical="center" wrapText="1"/>
    </xf>
    <xf borderId="1" fillId="0" fontId="1" numFmtId="166" xfId="0" applyAlignment="1" applyBorder="1" applyFont="1" applyNumberFormat="1">
      <alignment horizontal="center" readingOrder="0" shrinkToFit="0" vertical="center" wrapText="1"/>
    </xf>
    <xf borderId="0" fillId="12" fontId="1" numFmtId="0" xfId="0" applyAlignment="1" applyFill="1" applyFont="1">
      <alignment vertical="bottom"/>
    </xf>
    <xf borderId="1" fillId="3" fontId="37" numFmtId="0" xfId="0" applyAlignment="1" applyBorder="1" applyFont="1">
      <alignment horizontal="center" vertical="bottom"/>
    </xf>
    <xf borderId="1" fillId="0" fontId="1" numFmtId="167" xfId="0" applyAlignment="1" applyBorder="1" applyFont="1" applyNumberFormat="1">
      <alignment horizontal="right" vertical="bottom"/>
    </xf>
    <xf borderId="1" fillId="0" fontId="1" numFmtId="0" xfId="0" applyAlignment="1" applyBorder="1" applyFont="1">
      <alignment vertical="bottom"/>
    </xf>
    <xf borderId="1" fillId="0" fontId="1" numFmtId="4" xfId="0" applyAlignment="1" applyBorder="1" applyFont="1" applyNumberFormat="1">
      <alignment horizontal="right" vertical="bottom"/>
    </xf>
    <xf borderId="1" fillId="2" fontId="1" numFmtId="0" xfId="0" applyAlignment="1" applyBorder="1" applyFont="1">
      <alignment horizontal="center" shrinkToFit="0" vertical="center" wrapText="1"/>
    </xf>
    <xf borderId="2" fillId="4" fontId="38" numFmtId="0" xfId="0" applyAlignment="1" applyBorder="1" applyFont="1">
      <alignment horizontal="center" readingOrder="0"/>
    </xf>
    <xf borderId="10" fillId="2" fontId="38" numFmtId="0" xfId="0" applyAlignment="1" applyBorder="1" applyFont="1">
      <alignment horizontal="center" readingOrder="0" shrinkToFit="0" vertical="center" wrapText="1"/>
    </xf>
    <xf borderId="1" fillId="0" fontId="39" numFmtId="0" xfId="0" applyAlignment="1" applyBorder="1" applyFont="1">
      <alignment horizontal="center" readingOrder="0" shrinkToFit="0" vertical="center" wrapText="1"/>
    </xf>
    <xf borderId="1" fillId="0" fontId="39" numFmtId="0" xfId="0" applyAlignment="1" applyBorder="1" applyFont="1">
      <alignment horizontal="center" readingOrder="0" vertical="center"/>
    </xf>
    <xf borderId="1" fillId="0" fontId="39" numFmtId="3" xfId="0" applyAlignment="1" applyBorder="1" applyFont="1" applyNumberFormat="1">
      <alignment horizontal="center" readingOrder="0" shrinkToFit="0" vertical="center" wrapText="1"/>
    </xf>
    <xf borderId="1" fillId="0" fontId="39" numFmtId="166" xfId="0" applyAlignment="1" applyBorder="1" applyFont="1" applyNumberFormat="1">
      <alignment horizontal="center" readingOrder="0" shrinkToFit="0" vertical="center" wrapText="1"/>
    </xf>
    <xf borderId="1" fillId="0" fontId="39" numFmtId="164" xfId="0" applyAlignment="1" applyBorder="1" applyFont="1" applyNumberFormat="1">
      <alignment horizontal="center" shrinkToFit="0" vertical="center" wrapText="1"/>
    </xf>
    <xf borderId="1" fillId="0" fontId="39" numFmtId="166" xfId="0" applyAlignment="1" applyBorder="1" applyFont="1" applyNumberFormat="1">
      <alignment horizontal="center" shrinkToFit="0" vertical="center" wrapText="1"/>
    </xf>
    <xf borderId="1" fillId="0" fontId="39" numFmtId="164" xfId="0" applyAlignment="1" applyBorder="1" applyFont="1" applyNumberFormat="1">
      <alignment horizontal="center" readingOrder="0" shrinkToFit="0" vertical="center" wrapText="1"/>
    </xf>
    <xf borderId="1" fillId="0" fontId="39" numFmtId="164" xfId="0" applyAlignment="1" applyBorder="1" applyFont="1" applyNumberFormat="1">
      <alignment horizontal="center" shrinkToFit="0" vertical="center" wrapText="1"/>
    </xf>
    <xf borderId="0" fillId="0" fontId="39" numFmtId="0" xfId="0" applyAlignment="1" applyFont="1">
      <alignment horizontal="center" readingOrder="0" shrinkToFit="0" vertical="center" wrapText="1"/>
    </xf>
    <xf borderId="1" fillId="3" fontId="40" numFmtId="0" xfId="0" applyAlignment="1" applyBorder="1" applyFont="1">
      <alignment horizontal="center" readingOrder="0" shrinkToFit="0" wrapText="1"/>
    </xf>
    <xf borderId="1" fillId="0" fontId="39" numFmtId="0" xfId="0" applyAlignment="1" applyBorder="1" applyFont="1">
      <alignment horizontal="center" shrinkToFit="0" vertical="center" wrapText="1"/>
    </xf>
    <xf borderId="0" fillId="0" fontId="39" numFmtId="0" xfId="0" applyFont="1"/>
    <xf borderId="1" fillId="4" fontId="39" numFmtId="0" xfId="0" applyAlignment="1" applyBorder="1" applyFont="1">
      <alignment horizontal="center" readingOrder="0"/>
    </xf>
    <xf borderId="1" fillId="4" fontId="39" numFmtId="166" xfId="0" applyAlignment="1" applyBorder="1" applyFont="1" applyNumberFormat="1">
      <alignment horizontal="center"/>
    </xf>
    <xf borderId="1" fillId="2" fontId="39" numFmtId="0" xfId="0" applyAlignment="1" applyBorder="1" applyFont="1">
      <alignment horizontal="center" readingOrder="0"/>
    </xf>
    <xf borderId="1" fillId="2" fontId="39" numFmtId="166" xfId="0" applyAlignment="1" applyBorder="1" applyFont="1" applyNumberFormat="1">
      <alignment horizontal="center"/>
    </xf>
    <xf borderId="0" fillId="0" fontId="41" numFmtId="0" xfId="0" applyAlignment="1" applyFont="1">
      <alignment readingOrder="0" shrinkToFit="0" vertical="top" wrapText="0"/>
    </xf>
    <xf borderId="0" fillId="0" fontId="30" numFmtId="0" xfId="0" applyAlignment="1" applyFont="1">
      <alignment horizontal="left" readingOrder="0" shrinkToFit="0" vertical="top" wrapText="0"/>
    </xf>
    <xf borderId="0" fillId="0" fontId="28" numFmtId="0" xfId="0" applyAlignment="1" applyFont="1">
      <alignment shrinkToFit="0" vertical="top" wrapText="1"/>
    </xf>
    <xf borderId="2" fillId="4" fontId="17" numFmtId="0" xfId="0" applyAlignment="1" applyBorder="1" applyFont="1">
      <alignment horizontal="center" readingOrder="0"/>
    </xf>
    <xf borderId="1" fillId="0" fontId="28" numFmtId="0" xfId="0" applyAlignment="1" applyBorder="1" applyFont="1">
      <alignment horizontal="center" readingOrder="0" shrinkToFit="0" vertical="center" wrapText="1"/>
    </xf>
    <xf borderId="1" fillId="0" fontId="34" numFmtId="164" xfId="0" applyAlignment="1" applyBorder="1" applyFont="1" applyNumberFormat="1">
      <alignment horizontal="center" readingOrder="0" shrinkToFit="0" vertical="center" wrapText="0"/>
    </xf>
    <xf borderId="1" fillId="0" fontId="13" numFmtId="164" xfId="0" applyAlignment="1" applyBorder="1" applyFont="1" applyNumberFormat="1">
      <alignment horizontal="center" vertical="center"/>
    </xf>
    <xf borderId="1" fillId="0" fontId="28" numFmtId="164" xfId="0" applyAlignment="1" applyBorder="1" applyFont="1" applyNumberFormat="1">
      <alignment horizontal="center" readingOrder="0" shrinkToFit="0" vertical="center" wrapText="0"/>
    </xf>
    <xf borderId="1" fillId="4" fontId="1" numFmtId="0" xfId="0" applyAlignment="1" applyBorder="1" applyFont="1">
      <alignment horizontal="center" readingOrder="0"/>
    </xf>
    <xf borderId="1" fillId="4" fontId="1" numFmtId="164" xfId="0" applyAlignment="1" applyBorder="1" applyFont="1" applyNumberFormat="1">
      <alignment horizontal="center"/>
    </xf>
    <xf borderId="1" fillId="2" fontId="1" numFmtId="0" xfId="0" applyAlignment="1" applyBorder="1" applyFont="1">
      <alignment horizontal="center" readingOrder="0"/>
    </xf>
    <xf borderId="1" fillId="2" fontId="1" numFmtId="164" xfId="0" applyAlignment="1" applyBorder="1" applyFont="1" applyNumberFormat="1">
      <alignment horizontal="center"/>
    </xf>
    <xf borderId="1" fillId="2" fontId="13" numFmtId="0" xfId="0" applyAlignment="1" applyBorder="1" applyFont="1">
      <alignment horizontal="center" vertical="bottom"/>
    </xf>
    <xf borderId="1" fillId="2" fontId="13" numFmtId="0" xfId="0" applyAlignment="1" applyBorder="1" applyFont="1">
      <alignment horizontal="center" readingOrder="0" vertical="bottom"/>
    </xf>
    <xf borderId="1" fillId="0" fontId="1" numFmtId="0" xfId="0" applyAlignment="1" applyBorder="1" applyFont="1">
      <alignment readingOrder="0" vertical="bottom"/>
    </xf>
    <xf borderId="1" fillId="0" fontId="1" numFmtId="165" xfId="0" applyAlignment="1" applyBorder="1" applyFont="1" applyNumberFormat="1">
      <alignment horizontal="right" vertical="bottom"/>
    </xf>
    <xf borderId="1" fillId="0" fontId="1" numFmtId="165" xfId="0" applyAlignment="1" applyBorder="1" applyFont="1" applyNumberFormat="1">
      <alignment horizontal="right" vertical="bottom"/>
    </xf>
    <xf borderId="1" fillId="4" fontId="1" numFmtId="165" xfId="0" applyAlignment="1" applyBorder="1" applyFont="1" applyNumberFormat="1">
      <alignment horizontal="right" vertical="bottom"/>
    </xf>
    <xf borderId="1" fillId="4" fontId="1" numFmtId="165" xfId="0" applyAlignment="1" applyBorder="1" applyFont="1" applyNumberFormat="1">
      <alignment horizontal="right" vertical="bottom"/>
    </xf>
    <xf borderId="1" fillId="0" fontId="42" numFmtId="165" xfId="0" applyAlignment="1" applyBorder="1" applyFont="1" applyNumberFormat="1">
      <alignment horizontal="right" vertical="bottom"/>
    </xf>
    <xf borderId="1" fillId="3" fontId="43" numFmtId="0" xfId="0" applyAlignment="1" applyBorder="1" applyFont="1">
      <alignment vertical="bottom"/>
    </xf>
    <xf borderId="1" fillId="4" fontId="1" numFmtId="4" xfId="0" applyAlignment="1" applyBorder="1" applyFont="1" applyNumberFormat="1">
      <alignment horizontal="right" vertical="bottom"/>
    </xf>
    <xf borderId="1" fillId="11" fontId="44" numFmtId="165" xfId="0" applyAlignment="1" applyBorder="1" applyFont="1" applyNumberFormat="1">
      <alignment horizontal="right" vertical="bottom"/>
    </xf>
    <xf borderId="0" fillId="4" fontId="13" numFmtId="0" xfId="0" applyAlignment="1" applyFont="1">
      <alignment readingOrder="0"/>
    </xf>
    <xf borderId="1" fillId="3" fontId="4" numFmtId="166" xfId="0" applyAlignment="1" applyBorder="1" applyFont="1" applyNumberFormat="1">
      <alignment horizontal="center" readingOrder="0"/>
    </xf>
    <xf borderId="1" fillId="13" fontId="8" numFmtId="0" xfId="0" applyAlignment="1" applyBorder="1" applyFill="1" applyFont="1">
      <alignment readingOrder="0"/>
    </xf>
    <xf borderId="1" fillId="0" fontId="33" numFmtId="166" xfId="0" applyAlignment="1" applyBorder="1" applyFont="1" applyNumberFormat="1">
      <alignment horizontal="center"/>
    </xf>
    <xf borderId="0" fillId="0" fontId="45"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9.png"/></Relationships>
</file>

<file path=xl/drawings/_rels/drawing2.xml.rels><?xml version="1.0" encoding="UTF-8" standalone="yes"?><Relationships xmlns="http://schemas.openxmlformats.org/package/2006/relationships"><Relationship Id="rId1" Type="http://schemas.openxmlformats.org/officeDocument/2006/relationships/image" Target="../media/image11.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3.png"/><Relationship Id="rId2" Type="http://schemas.openxmlformats.org/officeDocument/2006/relationships/image" Target="../media/image5.png"/><Relationship Id="rId3" Type="http://schemas.openxmlformats.org/officeDocument/2006/relationships/image" Target="../media/image3.png"/><Relationship Id="rId4" Type="http://schemas.openxmlformats.org/officeDocument/2006/relationships/image" Target="../media/image8.png"/><Relationship Id="rId5"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0.png"/><Relationship Id="rId3" Type="http://schemas.openxmlformats.org/officeDocument/2006/relationships/image" Target="../media/image16.png"/><Relationship Id="rId4" Type="http://schemas.openxmlformats.org/officeDocument/2006/relationships/image" Target="../media/image12.png"/><Relationship Id="rId5" Type="http://schemas.openxmlformats.org/officeDocument/2006/relationships/image" Target="../media/image18.png"/><Relationship Id="rId6" Type="http://schemas.openxmlformats.org/officeDocument/2006/relationships/image" Target="../media/image6.png"/><Relationship Id="rId7" Type="http://schemas.openxmlformats.org/officeDocument/2006/relationships/image" Target="../media/image4.png"/><Relationship Id="rId8"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4.png"/><Relationship Id="rId2" Type="http://schemas.openxmlformats.org/officeDocument/2006/relationships/image" Target="../media/image22.png"/><Relationship Id="rId3" Type="http://schemas.openxmlformats.org/officeDocument/2006/relationships/image" Target="../media/image9.png"/><Relationship Id="rId4" Type="http://schemas.openxmlformats.org/officeDocument/2006/relationships/image" Target="../media/image17.png"/><Relationship Id="rId5" Type="http://schemas.openxmlformats.org/officeDocument/2006/relationships/image" Target="../media/image15.png"/><Relationship Id="rId6" Type="http://schemas.openxmlformats.org/officeDocument/2006/relationships/image" Target="../media/image13.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514350</xdr:colOff>
      <xdr:row>9</xdr:row>
      <xdr:rowOff>190500</xdr:rowOff>
    </xdr:from>
    <xdr:ext cx="7620000" cy="1914525"/>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962025</xdr:colOff>
      <xdr:row>0</xdr:row>
      <xdr:rowOff>0</xdr:rowOff>
    </xdr:from>
    <xdr:ext cx="3505200" cy="876300"/>
    <xdr:pic>
      <xdr:nvPicPr>
        <xdr:cNvPr id="0" name="image19.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3219450</xdr:colOff>
      <xdr:row>17</xdr:row>
      <xdr:rowOff>57150</xdr:rowOff>
    </xdr:from>
    <xdr:ext cx="3095625" cy="781050"/>
    <xdr:pic>
      <xdr:nvPicPr>
        <xdr:cNvPr id="0" name="image1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381000</xdr:colOff>
      <xdr:row>2</xdr:row>
      <xdr:rowOff>95250</xdr:rowOff>
    </xdr:from>
    <xdr:ext cx="3095625" cy="781050"/>
    <xdr:pic>
      <xdr:nvPicPr>
        <xdr:cNvPr id="0" name="image11.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1152525</xdr:colOff>
      <xdr:row>44</xdr:row>
      <xdr:rowOff>161925</xdr:rowOff>
    </xdr:from>
    <xdr:ext cx="17868900" cy="9982200"/>
    <xdr:pic>
      <xdr:nvPicPr>
        <xdr:cNvPr id="0" name="image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1981200</xdr:colOff>
      <xdr:row>23</xdr:row>
      <xdr:rowOff>28575</xdr:rowOff>
    </xdr:from>
    <xdr:ext cx="3095625" cy="781050"/>
    <xdr:pic>
      <xdr:nvPicPr>
        <xdr:cNvPr id="0" name="image11.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876300</xdr:colOff>
      <xdr:row>2</xdr:row>
      <xdr:rowOff>200025</xdr:rowOff>
    </xdr:from>
    <xdr:ext cx="3095625" cy="781050"/>
    <xdr:pic>
      <xdr:nvPicPr>
        <xdr:cNvPr id="0" name="image11.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247650</xdr:colOff>
      <xdr:row>27</xdr:row>
      <xdr:rowOff>66675</xdr:rowOff>
    </xdr:from>
    <xdr:ext cx="17887950" cy="9267825"/>
    <xdr:pic>
      <xdr:nvPicPr>
        <xdr:cNvPr id="0" name="image2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58</xdr:row>
      <xdr:rowOff>47625</xdr:rowOff>
    </xdr:from>
    <xdr:ext cx="17897475" cy="9258300"/>
    <xdr:pic>
      <xdr:nvPicPr>
        <xdr:cNvPr id="0" name="image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107</xdr:row>
      <xdr:rowOff>114300</xdr:rowOff>
    </xdr:from>
    <xdr:ext cx="17840325" cy="9248775"/>
    <xdr:pic>
      <xdr:nvPicPr>
        <xdr:cNvPr id="0" name="image3.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155</xdr:row>
      <xdr:rowOff>171450</xdr:rowOff>
    </xdr:from>
    <xdr:ext cx="17840325" cy="9267825"/>
    <xdr:pic>
      <xdr:nvPicPr>
        <xdr:cNvPr id="0" name="image8.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15</xdr:col>
      <xdr:colOff>276225</xdr:colOff>
      <xdr:row>3</xdr:row>
      <xdr:rowOff>57150</xdr:rowOff>
    </xdr:from>
    <xdr:ext cx="3095625" cy="781050"/>
    <xdr:pic>
      <xdr:nvPicPr>
        <xdr:cNvPr id="0" name="image11.png" title="Imagen"/>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323850</xdr:colOff>
      <xdr:row>4</xdr:row>
      <xdr:rowOff>190500</xdr:rowOff>
    </xdr:from>
    <xdr:ext cx="2085975" cy="2905125"/>
    <xdr:pic>
      <xdr:nvPicPr>
        <xdr:cNvPr id="0" name="image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76200</xdr:colOff>
      <xdr:row>12</xdr:row>
      <xdr:rowOff>209550</xdr:rowOff>
    </xdr:from>
    <xdr:ext cx="3095625" cy="781050"/>
    <xdr:pic>
      <xdr:nvPicPr>
        <xdr:cNvPr id="0" name="image11.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733425</xdr:colOff>
      <xdr:row>34</xdr:row>
      <xdr:rowOff>171450</xdr:rowOff>
    </xdr:from>
    <xdr:ext cx="7620000" cy="1914525"/>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45</xdr:row>
      <xdr:rowOff>28575</xdr:rowOff>
    </xdr:from>
    <xdr:ext cx="17859375" cy="9210675"/>
    <xdr:pic>
      <xdr:nvPicPr>
        <xdr:cNvPr id="0" name="image2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95</xdr:row>
      <xdr:rowOff>161925</xdr:rowOff>
    </xdr:from>
    <xdr:ext cx="17830800" cy="9239250"/>
    <xdr:pic>
      <xdr:nvPicPr>
        <xdr:cNvPr id="0" name="image16.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147</xdr:row>
      <xdr:rowOff>47625</xdr:rowOff>
    </xdr:from>
    <xdr:ext cx="17840325" cy="9239250"/>
    <xdr:pic>
      <xdr:nvPicPr>
        <xdr:cNvPr id="0" name="image12.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199</xdr:row>
      <xdr:rowOff>66675</xdr:rowOff>
    </xdr:from>
    <xdr:ext cx="17849850" cy="9248775"/>
    <xdr:pic>
      <xdr:nvPicPr>
        <xdr:cNvPr id="0" name="image18.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252</xdr:row>
      <xdr:rowOff>66675</xdr:rowOff>
    </xdr:from>
    <xdr:ext cx="17897475" cy="9267825"/>
    <xdr:pic>
      <xdr:nvPicPr>
        <xdr:cNvPr id="0" name="image6.png" title="Imagen"/>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307</xdr:row>
      <xdr:rowOff>38100</xdr:rowOff>
    </xdr:from>
    <xdr:ext cx="17897475" cy="9296400"/>
    <xdr:pic>
      <xdr:nvPicPr>
        <xdr:cNvPr id="0" name="image4.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357</xdr:row>
      <xdr:rowOff>19050</xdr:rowOff>
    </xdr:from>
    <xdr:ext cx="12649200" cy="6943725"/>
    <xdr:pic>
      <xdr:nvPicPr>
        <xdr:cNvPr id="0" name="image10.png" title="Imagen"/>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21</xdr:col>
      <xdr:colOff>781050</xdr:colOff>
      <xdr:row>121</xdr:row>
      <xdr:rowOff>9525</xdr:rowOff>
    </xdr:from>
    <xdr:ext cx="12020550" cy="1495425"/>
    <xdr:pic>
      <xdr:nvPicPr>
        <xdr:cNvPr id="0" name="image1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25</xdr:col>
      <xdr:colOff>914400</xdr:colOff>
      <xdr:row>104</xdr:row>
      <xdr:rowOff>57150</xdr:rowOff>
    </xdr:from>
    <xdr:ext cx="5314950" cy="3038475"/>
    <xdr:pic>
      <xdr:nvPicPr>
        <xdr:cNvPr id="0" name="image2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21</xdr:col>
      <xdr:colOff>952500</xdr:colOff>
      <xdr:row>85</xdr:row>
      <xdr:rowOff>19050</xdr:rowOff>
    </xdr:from>
    <xdr:ext cx="12039600" cy="3609975"/>
    <xdr:pic>
      <xdr:nvPicPr>
        <xdr:cNvPr id="0" name="image9.png" title="Imagen"/>
        <xdr:cNvPicPr preferRelativeResize="0"/>
      </xdr:nvPicPr>
      <xdr:blipFill>
        <a:blip cstate="print" r:embed="rId3"/>
        <a:stretch>
          <a:fillRect/>
        </a:stretch>
      </xdr:blipFill>
      <xdr:spPr>
        <a:prstGeom prst="rect">
          <a:avLst/>
        </a:prstGeom>
        <a:noFill/>
      </xdr:spPr>
    </xdr:pic>
    <xdr:clientData fLocksWithSheet="0"/>
  </xdr:oneCellAnchor>
  <xdr:oneCellAnchor>
    <xdr:from>
      <xdr:col>21</xdr:col>
      <xdr:colOff>933450</xdr:colOff>
      <xdr:row>72</xdr:row>
      <xdr:rowOff>123825</xdr:rowOff>
    </xdr:from>
    <xdr:ext cx="12182475" cy="1438275"/>
    <xdr:pic>
      <xdr:nvPicPr>
        <xdr:cNvPr id="0" name="image17.png" title="Imagen"/>
        <xdr:cNvPicPr preferRelativeResize="0"/>
      </xdr:nvPicPr>
      <xdr:blipFill>
        <a:blip cstate="print" r:embed="rId4"/>
        <a:stretch>
          <a:fillRect/>
        </a:stretch>
      </xdr:blipFill>
      <xdr:spPr>
        <a:prstGeom prst="rect">
          <a:avLst/>
        </a:prstGeom>
        <a:noFill/>
      </xdr:spPr>
    </xdr:pic>
    <xdr:clientData fLocksWithSheet="0"/>
  </xdr:oneCellAnchor>
  <xdr:oneCellAnchor>
    <xdr:from>
      <xdr:col>21</xdr:col>
      <xdr:colOff>828675</xdr:colOff>
      <xdr:row>57</xdr:row>
      <xdr:rowOff>66675</xdr:rowOff>
    </xdr:from>
    <xdr:ext cx="12020550" cy="2676525"/>
    <xdr:pic>
      <xdr:nvPicPr>
        <xdr:cNvPr id="0" name="image15.png" title="Imagen"/>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1381125</xdr:colOff>
      <xdr:row>37</xdr:row>
      <xdr:rowOff>9525</xdr:rowOff>
    </xdr:from>
    <xdr:ext cx="15754350" cy="1485900"/>
    <xdr:pic>
      <xdr:nvPicPr>
        <xdr:cNvPr id="0" name="image13.png" title="Imagen"/>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447675</xdr:colOff>
      <xdr:row>16</xdr:row>
      <xdr:rowOff>66675</xdr:rowOff>
    </xdr:from>
    <xdr:ext cx="12001500" cy="4333875"/>
    <xdr:pic>
      <xdr:nvPicPr>
        <xdr:cNvPr id="0" name="image21.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homecenter.com.co/static/landing/footer/docs/2017/INFORME-FINANCIERO-Sodimac-2019.pdf" TargetMode="External"/><Relationship Id="rId2"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microsoft.com/es-es/windows-server/pricing" TargetMode="External"/><Relationship Id="rId2" Type="http://schemas.openxmlformats.org/officeDocument/2006/relationships/hyperlink" Target="https://www.suse.com/shop/server/" TargetMode="External"/><Relationship Id="rId3" Type="http://schemas.openxmlformats.org/officeDocument/2006/relationships/hyperlink" Target="https://www.redhat.com/en/store" TargetMode="External"/><Relationship Id="rId4" Type="http://schemas.openxmlformats.org/officeDocument/2006/relationships/hyperlink" Target="https://anydesk.com/es/comprar" TargetMode="External"/><Relationship Id="rId10" Type="http://schemas.openxmlformats.org/officeDocument/2006/relationships/drawing" Target="../drawings/drawing3.xml"/><Relationship Id="rId9" Type="http://schemas.openxmlformats.org/officeDocument/2006/relationships/hyperlink" Target="https://www.amazon.com/-/es/Cisco-Meraki-licencia-soporte-empresarial/dp/B01BPA232Q/ref=sr_1_13?__mk_es_US=%C3%85M%C3%85%C5%BD%C3%95%C3%91&amp;dchild=1&amp;keywords=licence+cisco&amp;qid=1624664303&amp;sr=8-13" TargetMode="External"/><Relationship Id="rId5" Type="http://schemas.openxmlformats.org/officeDocument/2006/relationships/hyperlink" Target="https://www.mcafee.com/en-us/antivirus/smb.html" TargetMode="External"/><Relationship Id="rId6" Type="http://schemas.openxmlformats.org/officeDocument/2006/relationships/hyperlink" Target="https://store-us.vmware.com/vmware-workstation-16-pro-5424176500.html?theme=2" TargetMode="External"/><Relationship Id="rId7" Type="http://schemas.openxmlformats.org/officeDocument/2006/relationships/hyperlink" Target="https://www.microsoft.com/es-es/d/licencia-cal-de-servicios-de-escritorio-remoto-de-windows-server/dg7gmgf0dvsv" TargetMode="External"/><Relationship Id="rId8" Type="http://schemas.openxmlformats.org/officeDocument/2006/relationships/hyperlink" Target="https://www.amazon.com/-/es/MX67C-HW-Cisco-Meraki-Managed-Firewall/dp/B07KKQMQSD/ref=sr_1_18?__mk_es_US=%C3%85M%C3%85%C5%BD%C3%95%C3%91&amp;dchild=1&amp;keywords=licence+cisco+firewall&amp;qid=1624664114&amp;sr=8-18"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28.14"/>
    <col customWidth="1" min="3" max="3" width="12.86"/>
    <col customWidth="1" min="4" max="4" width="18.57"/>
    <col customWidth="1" min="10" max="10" width="21.43"/>
    <col customWidth="1" min="11" max="11" width="33.14"/>
  </cols>
  <sheetData>
    <row r="3">
      <c r="B3" s="1" t="s">
        <v>0</v>
      </c>
      <c r="C3" s="1" t="s">
        <v>1</v>
      </c>
      <c r="D3" s="2"/>
      <c r="E3" s="3"/>
      <c r="F3" s="4" t="s">
        <v>2</v>
      </c>
      <c r="G3" s="4" t="s">
        <v>3</v>
      </c>
      <c r="H3" s="4" t="s">
        <v>4</v>
      </c>
      <c r="I3" s="4" t="s">
        <v>5</v>
      </c>
      <c r="J3" s="4" t="s">
        <v>6</v>
      </c>
      <c r="K3" s="3"/>
      <c r="L3" s="4" t="s">
        <v>2</v>
      </c>
      <c r="M3" s="4" t="s">
        <v>3</v>
      </c>
      <c r="N3" s="4" t="s">
        <v>4</v>
      </c>
      <c r="O3" s="4" t="s">
        <v>5</v>
      </c>
      <c r="P3" s="4" t="s">
        <v>6</v>
      </c>
    </row>
    <row r="4" ht="47.25" customHeight="1">
      <c r="B4" s="5" t="s">
        <v>7</v>
      </c>
      <c r="C4" s="6">
        <v>2.0</v>
      </c>
      <c r="D4" s="7"/>
      <c r="E4" s="8"/>
      <c r="F4" s="9" t="s">
        <v>8</v>
      </c>
      <c r="G4" s="10" t="s">
        <v>9</v>
      </c>
      <c r="H4" s="10" t="s">
        <v>10</v>
      </c>
      <c r="I4" s="10" t="s">
        <v>11</v>
      </c>
      <c r="J4" s="11" t="s">
        <v>12</v>
      </c>
      <c r="K4" s="12"/>
      <c r="L4" s="9" t="s">
        <v>8</v>
      </c>
      <c r="M4" s="10" t="s">
        <v>13</v>
      </c>
      <c r="N4" s="10" t="s">
        <v>14</v>
      </c>
      <c r="O4" s="10" t="s">
        <v>15</v>
      </c>
      <c r="P4" s="10" t="s">
        <v>16</v>
      </c>
    </row>
    <row r="5">
      <c r="B5" s="5" t="s">
        <v>17</v>
      </c>
      <c r="C5" s="6">
        <v>2.0</v>
      </c>
      <c r="D5" s="7"/>
      <c r="E5" s="8"/>
      <c r="F5" s="9" t="s">
        <v>18</v>
      </c>
      <c r="G5" s="10" t="s">
        <v>19</v>
      </c>
      <c r="H5" s="10" t="s">
        <v>20</v>
      </c>
      <c r="I5" s="10" t="s">
        <v>21</v>
      </c>
      <c r="J5" s="10" t="s">
        <v>22</v>
      </c>
      <c r="K5" s="12"/>
      <c r="L5" s="9" t="s">
        <v>18</v>
      </c>
      <c r="M5" s="10" t="s">
        <v>19</v>
      </c>
      <c r="N5" s="10" t="s">
        <v>20</v>
      </c>
      <c r="O5" s="10" t="s">
        <v>23</v>
      </c>
      <c r="P5" s="10" t="s">
        <v>24</v>
      </c>
    </row>
    <row r="6" ht="48.0" customHeight="1">
      <c r="B6" s="5" t="s">
        <v>25</v>
      </c>
      <c r="C6" s="6">
        <v>2.0</v>
      </c>
      <c r="D6" s="7"/>
      <c r="E6" s="8"/>
      <c r="F6" s="9" t="s">
        <v>26</v>
      </c>
      <c r="G6" s="11" t="s">
        <v>27</v>
      </c>
      <c r="H6" s="11" t="s">
        <v>28</v>
      </c>
      <c r="I6" s="11" t="s">
        <v>27</v>
      </c>
      <c r="J6" s="11" t="s">
        <v>29</v>
      </c>
      <c r="K6" s="13"/>
      <c r="L6" s="14" t="s">
        <v>26</v>
      </c>
      <c r="M6" s="11" t="s">
        <v>29</v>
      </c>
      <c r="N6" s="11" t="s">
        <v>29</v>
      </c>
      <c r="O6" s="11" t="s">
        <v>29</v>
      </c>
      <c r="P6" s="11" t="s">
        <v>29</v>
      </c>
    </row>
    <row r="7">
      <c r="B7" s="5" t="s">
        <v>30</v>
      </c>
      <c r="C7" s="6">
        <v>1.0</v>
      </c>
      <c r="D7" s="7"/>
      <c r="E7" s="8"/>
      <c r="F7" s="9" t="s">
        <v>31</v>
      </c>
      <c r="G7" s="10" t="s">
        <v>32</v>
      </c>
      <c r="H7" s="10" t="s">
        <v>32</v>
      </c>
      <c r="I7" s="10" t="s">
        <v>32</v>
      </c>
      <c r="J7" s="10" t="s">
        <v>32</v>
      </c>
      <c r="K7" s="12"/>
      <c r="L7" s="9" t="s">
        <v>31</v>
      </c>
      <c r="M7" s="10" t="s">
        <v>32</v>
      </c>
      <c r="N7" s="10" t="s">
        <v>32</v>
      </c>
      <c r="O7" s="10" t="s">
        <v>32</v>
      </c>
      <c r="P7" s="10" t="s">
        <v>32</v>
      </c>
    </row>
    <row r="8">
      <c r="B8" s="5" t="s">
        <v>33</v>
      </c>
      <c r="C8" s="6">
        <v>2.0</v>
      </c>
    </row>
    <row r="9">
      <c r="B9" s="5" t="s">
        <v>34</v>
      </c>
      <c r="C9" s="6">
        <v>2.0</v>
      </c>
    </row>
    <row r="10">
      <c r="B10" s="5" t="s">
        <v>35</v>
      </c>
      <c r="C10" s="6">
        <v>2.0</v>
      </c>
    </row>
    <row r="11">
      <c r="B11" s="5" t="s">
        <v>36</v>
      </c>
      <c r="C11" s="6">
        <v>2.0</v>
      </c>
    </row>
    <row r="12">
      <c r="B12" s="15" t="s">
        <v>37</v>
      </c>
      <c r="C12" s="16">
        <v>1.0</v>
      </c>
    </row>
    <row r="13">
      <c r="B13" s="15" t="s">
        <v>38</v>
      </c>
      <c r="C13" s="16">
        <v>1.0</v>
      </c>
    </row>
    <row r="14">
      <c r="B14" s="15" t="s">
        <v>39</v>
      </c>
      <c r="C14" s="16">
        <v>2.0</v>
      </c>
    </row>
    <row r="15">
      <c r="B15" s="17" t="s">
        <v>40</v>
      </c>
      <c r="C15" s="18">
        <v>2.0</v>
      </c>
      <c r="D15" s="7"/>
    </row>
    <row r="16">
      <c r="B16" s="17" t="s">
        <v>41</v>
      </c>
      <c r="C16" s="18">
        <v>1.0</v>
      </c>
      <c r="D16" s="7"/>
    </row>
    <row r="17">
      <c r="B17" s="17" t="s">
        <v>42</v>
      </c>
      <c r="C17" s="18">
        <v>1.0</v>
      </c>
      <c r="D17" s="7"/>
    </row>
    <row r="18">
      <c r="B18" s="17" t="s">
        <v>43</v>
      </c>
      <c r="C18" s="18">
        <v>3.0</v>
      </c>
      <c r="D18" s="7"/>
    </row>
    <row r="19">
      <c r="B19" s="19" t="s">
        <v>44</v>
      </c>
      <c r="C19" s="20" t="s">
        <v>45</v>
      </c>
      <c r="D19" s="7"/>
    </row>
    <row r="20">
      <c r="B20" s="19" t="s">
        <v>46</v>
      </c>
      <c r="C20" s="20" t="s">
        <v>47</v>
      </c>
      <c r="D20" s="7"/>
    </row>
    <row r="21">
      <c r="B21" s="19" t="s">
        <v>48</v>
      </c>
      <c r="C21" s="20">
        <v>100.0</v>
      </c>
    </row>
    <row r="22">
      <c r="B22" s="19" t="s">
        <v>49</v>
      </c>
      <c r="C22" s="20">
        <v>100.0</v>
      </c>
    </row>
    <row r="23">
      <c r="B23" s="19" t="s">
        <v>50</v>
      </c>
      <c r="C23" s="20">
        <v>12.0</v>
      </c>
    </row>
    <row r="24">
      <c r="B24" s="19" t="s">
        <v>51</v>
      </c>
      <c r="C24" s="20">
        <v>2.0</v>
      </c>
    </row>
    <row r="25">
      <c r="B25" s="19" t="s">
        <v>52</v>
      </c>
      <c r="C25" s="20">
        <v>2.0</v>
      </c>
    </row>
    <row r="26">
      <c r="B26" s="19" t="s">
        <v>53</v>
      </c>
      <c r="C26" s="20">
        <v>2.0</v>
      </c>
      <c r="J26" s="21" t="s">
        <v>54</v>
      </c>
      <c r="K26" s="22">
        <f>SUM('Lista On Premise'!F30+Software!H39+HERRAMIENTAS!T15+SERVICIOS_IN_HOUSE!G21+MATERIALES!E21+'COTIZACIÓN_CLOUD_AWS.'!G14)</f>
        <v>382376587.8</v>
      </c>
    </row>
    <row r="27">
      <c r="B27" s="19" t="s">
        <v>55</v>
      </c>
      <c r="C27" s="20">
        <v>2.0</v>
      </c>
    </row>
    <row r="28">
      <c r="B28" s="19" t="s">
        <v>56</v>
      </c>
      <c r="C28" s="20">
        <v>2.0</v>
      </c>
    </row>
    <row r="34">
      <c r="E34" s="23" t="s">
        <v>57</v>
      </c>
      <c r="F34" s="24"/>
      <c r="G34" s="24"/>
      <c r="H34" s="25"/>
    </row>
    <row r="35">
      <c r="B35" s="26" t="s">
        <v>58</v>
      </c>
      <c r="C35" s="19">
        <v>2.0</v>
      </c>
      <c r="E35" s="19">
        <v>3600000.0</v>
      </c>
      <c r="F35" s="15">
        <f>E35*1.2</f>
        <v>4320000</v>
      </c>
      <c r="G35" s="15">
        <f>F35*12</f>
        <v>51840000</v>
      </c>
      <c r="H35" s="27">
        <f>G35*2</f>
        <v>103680000</v>
      </c>
    </row>
  </sheetData>
  <mergeCells count="1">
    <mergeCell ref="E34:H34"/>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17.43"/>
    <col customWidth="1" min="3" max="3" width="30.71"/>
    <col customWidth="1" min="4" max="6" width="21.86"/>
    <col customWidth="1" min="7" max="7" width="25.0"/>
  </cols>
  <sheetData>
    <row r="6">
      <c r="C6" s="305" t="s">
        <v>249</v>
      </c>
      <c r="D6" s="306" t="s">
        <v>250</v>
      </c>
      <c r="E6" s="306" t="s">
        <v>251</v>
      </c>
      <c r="F6" s="306" t="s">
        <v>252</v>
      </c>
      <c r="G6" s="306" t="s">
        <v>253</v>
      </c>
    </row>
    <row r="7">
      <c r="C7" s="307" t="s">
        <v>254</v>
      </c>
      <c r="D7" s="308">
        <f t="shared" ref="D7:D8" si="1">G7/12</f>
        <v>4770625.817</v>
      </c>
      <c r="E7" s="308">
        <f>('COTIZACIÓN_CLOUD_AWS.'!J56+'COTIZACIÓN_SERVICIO_CLOUD_AZURE'!L38)</f>
        <v>13668397.3</v>
      </c>
      <c r="F7" s="309">
        <f>SERVICIOS_EN_LA_NUBE.!F21</f>
        <v>43579112.5</v>
      </c>
      <c r="G7" s="308">
        <f>SUM(E7:F7)</f>
        <v>57247509.8</v>
      </c>
    </row>
    <row r="8">
      <c r="C8" s="307" t="s">
        <v>255</v>
      </c>
      <c r="D8" s="308">
        <f t="shared" si="1"/>
        <v>3111631.45</v>
      </c>
      <c r="E8" s="310">
        <f>E7/2</f>
        <v>6834198.65</v>
      </c>
      <c r="F8" s="311">
        <f>SERVICIOS_EN_LA_NUBE.!F21*70%</f>
        <v>30505378.75</v>
      </c>
      <c r="G8" s="310">
        <f t="shared" ref="G8:G9" si="2">E8+F8</f>
        <v>37339577.4</v>
      </c>
    </row>
    <row r="9">
      <c r="C9" s="307" t="s">
        <v>256</v>
      </c>
      <c r="D9" s="309">
        <f>G10/12</f>
        <v>23754255.08</v>
      </c>
      <c r="E9" s="309">
        <f>'Lista On Premise'!I17</f>
        <v>128477061</v>
      </c>
      <c r="F9" s="309">
        <f>SERVICIOS_IN_HOUSE!G21</f>
        <v>101574000</v>
      </c>
      <c r="G9" s="312">
        <f t="shared" si="2"/>
        <v>230051061</v>
      </c>
    </row>
    <row r="10">
      <c r="C10" s="313" t="s">
        <v>257</v>
      </c>
      <c r="D10" s="273">
        <f>(12000000+5000000+5000000)+(22000000+6000000)+(5000000)</f>
        <v>55000000</v>
      </c>
      <c r="E10" s="314">
        <f>D10+E9</f>
        <v>183477061</v>
      </c>
      <c r="F10" s="311">
        <f>F9</f>
        <v>101574000</v>
      </c>
      <c r="G10" s="311">
        <f>F10+E10</f>
        <v>285051061</v>
      </c>
    </row>
    <row r="11">
      <c r="C11" s="307" t="s">
        <v>258</v>
      </c>
      <c r="D11" s="272"/>
      <c r="E11" s="272"/>
      <c r="F11" s="272"/>
      <c r="G11" s="315">
        <f>G9+G10</f>
        <v>515102122</v>
      </c>
    </row>
    <row r="19">
      <c r="B19" s="316" t="s">
        <v>259</v>
      </c>
    </row>
    <row r="20">
      <c r="B20" s="28" t="s">
        <v>260</v>
      </c>
      <c r="C20" s="317">
        <v>4.5000063678E10</v>
      </c>
    </row>
    <row r="22">
      <c r="B22" s="318" t="s">
        <v>261</v>
      </c>
      <c r="C22" s="317">
        <f>C20/12</f>
        <v>3750005307</v>
      </c>
    </row>
    <row r="23">
      <c r="B23" s="318" t="s">
        <v>262</v>
      </c>
      <c r="C23" s="319">
        <f>C22/30</f>
        <v>125000176.9</v>
      </c>
    </row>
    <row r="24">
      <c r="C24" s="212"/>
    </row>
    <row r="31">
      <c r="B31" s="320" t="s">
        <v>263</v>
      </c>
    </row>
  </sheetData>
  <hyperlinks>
    <hyperlink r:id="rId1" ref="B31"/>
  </hyperlinks>
  <drawing r:id="rId2"/>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0.29"/>
    <col customWidth="1" min="2" max="2" width="11.57"/>
    <col customWidth="1" min="3" max="3" width="48.29"/>
    <col customWidth="1" min="4" max="11" width="29.57"/>
    <col customWidth="1" min="12" max="12" width="48.14"/>
    <col customWidth="1" min="13" max="26" width="29.57"/>
  </cols>
  <sheetData>
    <row r="2">
      <c r="A2" s="28" t="s">
        <v>59</v>
      </c>
      <c r="B2" s="29">
        <v>3739.03</v>
      </c>
    </row>
    <row r="3" ht="74.25" customHeight="1">
      <c r="A3" s="28" t="s">
        <v>60</v>
      </c>
      <c r="B3" s="29">
        <v>3739.03</v>
      </c>
      <c r="C3" s="30"/>
      <c r="D3" s="24"/>
      <c r="E3" s="24"/>
      <c r="F3" s="24"/>
      <c r="G3" s="24"/>
      <c r="H3" s="24"/>
      <c r="I3" s="25"/>
    </row>
    <row r="4">
      <c r="C4" s="31" t="s">
        <v>61</v>
      </c>
      <c r="D4" s="32"/>
      <c r="E4" s="32"/>
      <c r="F4" s="32"/>
      <c r="G4" s="32"/>
      <c r="H4" s="32"/>
      <c r="I4" s="33"/>
    </row>
    <row r="5">
      <c r="C5" s="34" t="s">
        <v>62</v>
      </c>
      <c r="D5" s="34" t="s">
        <v>63</v>
      </c>
      <c r="E5" s="34" t="s">
        <v>64</v>
      </c>
      <c r="F5" s="34" t="s">
        <v>65</v>
      </c>
      <c r="G5" s="34" t="s">
        <v>66</v>
      </c>
      <c r="H5" s="35" t="s">
        <v>67</v>
      </c>
      <c r="I5" s="34" t="s">
        <v>68</v>
      </c>
    </row>
    <row r="6">
      <c r="C6" s="36" t="s">
        <v>69</v>
      </c>
      <c r="D6" s="37">
        <v>2.0</v>
      </c>
      <c r="E6" s="38" t="s">
        <v>70</v>
      </c>
      <c r="F6" s="39">
        <v>2443.0</v>
      </c>
      <c r="G6" s="40">
        <f>B2*F6</f>
        <v>9134450.29</v>
      </c>
      <c r="H6" s="40">
        <f t="shared" ref="H6:H14" si="1">G6*1.045</f>
        <v>9545500.553</v>
      </c>
      <c r="I6" s="40">
        <f t="shared" ref="I6:I14" si="2">H6*D6</f>
        <v>19091001.11</v>
      </c>
    </row>
    <row r="7" ht="49.5" customHeight="1">
      <c r="C7" s="38" t="s">
        <v>71</v>
      </c>
      <c r="D7" s="37">
        <v>2.0</v>
      </c>
      <c r="E7" s="38" t="s">
        <v>72</v>
      </c>
      <c r="F7" s="41">
        <v>2795.0</v>
      </c>
      <c r="G7" s="40">
        <f>B2*F7</f>
        <v>10450588.85</v>
      </c>
      <c r="H7" s="40">
        <f t="shared" si="1"/>
        <v>10920865.35</v>
      </c>
      <c r="I7" s="40">
        <f t="shared" si="2"/>
        <v>21841730.7</v>
      </c>
    </row>
    <row r="8">
      <c r="C8" s="36" t="s">
        <v>73</v>
      </c>
      <c r="D8" s="37">
        <v>2.0</v>
      </c>
      <c r="E8" s="38" t="s">
        <v>74</v>
      </c>
      <c r="F8" s="42">
        <v>310.0</v>
      </c>
      <c r="G8" s="40">
        <f t="shared" ref="G8:G9" si="3">B2*F8</f>
        <v>1159099.3</v>
      </c>
      <c r="H8" s="40">
        <f t="shared" si="1"/>
        <v>1211258.769</v>
      </c>
      <c r="I8" s="40">
        <f t="shared" si="2"/>
        <v>2422517.537</v>
      </c>
    </row>
    <row r="9">
      <c r="C9" s="36" t="s">
        <v>75</v>
      </c>
      <c r="D9" s="37">
        <v>2.0</v>
      </c>
      <c r="E9" s="38" t="s">
        <v>76</v>
      </c>
      <c r="F9" s="42">
        <v>1207.0</v>
      </c>
      <c r="G9" s="40">
        <f t="shared" si="3"/>
        <v>4513009.21</v>
      </c>
      <c r="H9" s="40">
        <f t="shared" si="1"/>
        <v>4716094.624</v>
      </c>
      <c r="I9" s="40">
        <f t="shared" si="2"/>
        <v>9432189.249</v>
      </c>
    </row>
    <row r="10">
      <c r="C10" s="36" t="s">
        <v>77</v>
      </c>
      <c r="D10" s="37">
        <v>2.0</v>
      </c>
      <c r="E10" s="38" t="s">
        <v>78</v>
      </c>
      <c r="F10" s="41">
        <v>127.99</v>
      </c>
      <c r="G10" s="40">
        <f>B2*F10</f>
        <v>478558.4497</v>
      </c>
      <c r="H10" s="40">
        <f t="shared" si="1"/>
        <v>500093.5799</v>
      </c>
      <c r="I10" s="40">
        <f t="shared" si="2"/>
        <v>1000187.16</v>
      </c>
    </row>
    <row r="11" ht="44.25" customHeight="1">
      <c r="C11" s="36" t="s">
        <v>79</v>
      </c>
      <c r="D11" s="37">
        <v>2.0</v>
      </c>
      <c r="E11" s="37" t="s">
        <v>80</v>
      </c>
      <c r="F11" s="42">
        <v>18000.0</v>
      </c>
      <c r="G11" s="40">
        <f t="shared" ref="G11:G12" si="4">B2*F11</f>
        <v>67302540</v>
      </c>
      <c r="H11" s="40">
        <f t="shared" si="1"/>
        <v>70331154.3</v>
      </c>
      <c r="I11" s="40">
        <f t="shared" si="2"/>
        <v>140662308.6</v>
      </c>
    </row>
    <row r="12">
      <c r="C12" s="36" t="s">
        <v>81</v>
      </c>
      <c r="D12" s="37">
        <v>2.0</v>
      </c>
      <c r="E12" s="37" t="s">
        <v>82</v>
      </c>
      <c r="F12" s="41">
        <v>1062.34</v>
      </c>
      <c r="G12" s="40">
        <f t="shared" si="4"/>
        <v>3972121.13</v>
      </c>
      <c r="H12" s="40">
        <f t="shared" si="1"/>
        <v>4150866.581</v>
      </c>
      <c r="I12" s="40">
        <f t="shared" si="2"/>
        <v>8301733.162</v>
      </c>
    </row>
    <row r="13">
      <c r="C13" s="38" t="s">
        <v>83</v>
      </c>
      <c r="D13" s="37">
        <v>2.0</v>
      </c>
      <c r="E13" s="37" t="s">
        <v>84</v>
      </c>
      <c r="F13" s="41">
        <v>226.84</v>
      </c>
      <c r="G13" s="40">
        <f>B2*F13</f>
        <v>848161.5652</v>
      </c>
      <c r="H13" s="40">
        <f t="shared" si="1"/>
        <v>886328.8356</v>
      </c>
      <c r="I13" s="40">
        <f t="shared" si="2"/>
        <v>1772657.671</v>
      </c>
    </row>
    <row r="14" ht="27.75" customHeight="1">
      <c r="C14" s="37" t="s">
        <v>85</v>
      </c>
      <c r="D14" s="37">
        <v>2.0</v>
      </c>
      <c r="E14" s="37" t="s">
        <v>86</v>
      </c>
      <c r="F14" s="43">
        <v>1229.0</v>
      </c>
      <c r="G14" s="40">
        <f>B2*F14</f>
        <v>4595267.87</v>
      </c>
      <c r="H14" s="40">
        <f t="shared" si="1"/>
        <v>4802054.924</v>
      </c>
      <c r="I14" s="40">
        <f t="shared" si="2"/>
        <v>9604109.848</v>
      </c>
    </row>
    <row r="15" ht="23.25" customHeight="1">
      <c r="C15" s="44"/>
      <c r="D15" s="44"/>
      <c r="E15" s="44"/>
      <c r="F15" s="44"/>
      <c r="G15" s="45" t="s">
        <v>87</v>
      </c>
      <c r="H15" s="46" t="s">
        <v>88</v>
      </c>
      <c r="I15" s="47">
        <f>SUM(I6:I14)</f>
        <v>214128435</v>
      </c>
    </row>
    <row r="16">
      <c r="C16" s="44"/>
      <c r="D16" s="44"/>
      <c r="E16" s="44"/>
      <c r="F16" s="44"/>
      <c r="G16" s="44"/>
      <c r="H16" s="44"/>
      <c r="I16" s="44"/>
    </row>
    <row r="17" ht="38.25" customHeight="1">
      <c r="C17" s="48"/>
      <c r="D17" s="48"/>
      <c r="E17" s="49"/>
      <c r="F17" s="49"/>
      <c r="H17" s="50" t="s">
        <v>89</v>
      </c>
      <c r="I17" s="51">
        <f>SUM(F20:F28)*60%</f>
        <v>128477061</v>
      </c>
    </row>
    <row r="18" ht="75.0" customHeight="1">
      <c r="C18" s="52"/>
      <c r="D18" s="24"/>
      <c r="E18" s="24"/>
      <c r="F18" s="25"/>
    </row>
    <row r="19">
      <c r="C19" s="53" t="s">
        <v>90</v>
      </c>
      <c r="D19" s="54" t="s">
        <v>91</v>
      </c>
      <c r="E19" s="55" t="s">
        <v>92</v>
      </c>
      <c r="F19" s="55" t="s">
        <v>93</v>
      </c>
    </row>
    <row r="20" ht="60.75" customHeight="1">
      <c r="C20" s="56" t="s">
        <v>69</v>
      </c>
      <c r="D20" s="57">
        <v>2.0</v>
      </c>
      <c r="E20" s="58">
        <f t="shared" ref="E20:E28" si="5">G6*1.045</f>
        <v>9545500.553</v>
      </c>
      <c r="F20" s="59">
        <f t="shared" ref="F20:F28" si="6">D20*E20</f>
        <v>19091001.11</v>
      </c>
    </row>
    <row r="21">
      <c r="C21" s="56" t="s">
        <v>94</v>
      </c>
      <c r="D21" s="57">
        <v>2.0</v>
      </c>
      <c r="E21" s="58">
        <f t="shared" si="5"/>
        <v>10920865.35</v>
      </c>
      <c r="F21" s="59">
        <f t="shared" si="6"/>
        <v>21841730.7</v>
      </c>
    </row>
    <row r="22">
      <c r="C22" s="56" t="s">
        <v>73</v>
      </c>
      <c r="D22" s="57">
        <v>2.0</v>
      </c>
      <c r="E22" s="58">
        <f t="shared" si="5"/>
        <v>1211258.769</v>
      </c>
      <c r="F22" s="59">
        <f t="shared" si="6"/>
        <v>2422517.537</v>
      </c>
    </row>
    <row r="23">
      <c r="C23" s="56" t="s">
        <v>75</v>
      </c>
      <c r="D23" s="57">
        <v>2.0</v>
      </c>
      <c r="E23" s="58">
        <f t="shared" si="5"/>
        <v>4716094.624</v>
      </c>
      <c r="F23" s="59">
        <f t="shared" si="6"/>
        <v>9432189.249</v>
      </c>
    </row>
    <row r="24">
      <c r="C24" s="56" t="s">
        <v>77</v>
      </c>
      <c r="D24" s="57">
        <v>2.0</v>
      </c>
      <c r="E24" s="58">
        <f t="shared" si="5"/>
        <v>500093.5799</v>
      </c>
      <c r="F24" s="59">
        <f t="shared" si="6"/>
        <v>1000187.16</v>
      </c>
    </row>
    <row r="25">
      <c r="C25" s="56" t="s">
        <v>79</v>
      </c>
      <c r="D25" s="57">
        <v>2.0</v>
      </c>
      <c r="E25" s="58">
        <f t="shared" si="5"/>
        <v>70331154.3</v>
      </c>
      <c r="F25" s="59">
        <f t="shared" si="6"/>
        <v>140662308.6</v>
      </c>
    </row>
    <row r="26">
      <c r="C26" s="56" t="s">
        <v>81</v>
      </c>
      <c r="D26" s="57">
        <v>2.0</v>
      </c>
      <c r="E26" s="58">
        <f t="shared" si="5"/>
        <v>4150866.581</v>
      </c>
      <c r="F26" s="59">
        <f t="shared" si="6"/>
        <v>8301733.162</v>
      </c>
    </row>
    <row r="27">
      <c r="C27" s="56" t="s">
        <v>83</v>
      </c>
      <c r="D27" s="57">
        <v>2.0</v>
      </c>
      <c r="E27" s="58">
        <f t="shared" si="5"/>
        <v>886328.8356</v>
      </c>
      <c r="F27" s="59">
        <f t="shared" si="6"/>
        <v>1772657.671</v>
      </c>
    </row>
    <row r="28">
      <c r="C28" s="56" t="s">
        <v>85</v>
      </c>
      <c r="D28" s="57">
        <v>2.0</v>
      </c>
      <c r="E28" s="58">
        <f t="shared" si="5"/>
        <v>4802054.924</v>
      </c>
      <c r="F28" s="59">
        <f t="shared" si="6"/>
        <v>9604109.848</v>
      </c>
      <c r="G28" s="44"/>
      <c r="H28" s="44"/>
      <c r="I28" s="44"/>
    </row>
    <row r="29">
      <c r="C29" s="60"/>
      <c r="D29" s="45" t="s">
        <v>87</v>
      </c>
      <c r="E29" s="46" t="s">
        <v>88</v>
      </c>
      <c r="F29" s="47">
        <f>SUM(F20:F28)</f>
        <v>214128435</v>
      </c>
    </row>
    <row r="30">
      <c r="C30" s="60"/>
      <c r="D30" s="61"/>
      <c r="E30" s="50" t="s">
        <v>89</v>
      </c>
      <c r="F30" s="51">
        <f>SUM(F20:F28)*60%</f>
        <v>128477061</v>
      </c>
    </row>
  </sheetData>
  <mergeCells count="3">
    <mergeCell ref="C3:I3"/>
    <mergeCell ref="C4:I4"/>
    <mergeCell ref="C18:F18"/>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3" max="3" width="4.71"/>
    <col customWidth="1" min="4" max="4" width="17.29"/>
    <col customWidth="1" min="5" max="5" width="39.57"/>
    <col customWidth="1" min="7" max="7" width="28.14"/>
    <col customWidth="1" min="8" max="8" width="16.71"/>
    <col customWidth="1" min="9" max="9" width="18.0"/>
    <col customWidth="1" min="10" max="10" width="18.71"/>
    <col customWidth="1" min="11" max="11" width="22.0"/>
    <col customWidth="1" min="16" max="18" width="29.14"/>
    <col customWidth="1" min="19" max="19" width="28.86"/>
  </cols>
  <sheetData>
    <row r="3">
      <c r="C3" s="28" t="s">
        <v>59</v>
      </c>
      <c r="D3" s="29">
        <v>3739.03</v>
      </c>
    </row>
    <row r="4" ht="63.75" customHeight="1">
      <c r="C4" s="28" t="s">
        <v>60</v>
      </c>
      <c r="D4" s="29">
        <v>3739.03</v>
      </c>
      <c r="E4" s="30"/>
      <c r="F4" s="24"/>
      <c r="G4" s="24"/>
      <c r="H4" s="24"/>
      <c r="I4" s="24"/>
      <c r="J4" s="24"/>
      <c r="K4" s="25"/>
    </row>
    <row r="5">
      <c r="E5" s="62" t="s">
        <v>95</v>
      </c>
      <c r="F5" s="24"/>
      <c r="G5" s="24"/>
      <c r="H5" s="24"/>
      <c r="I5" s="24"/>
      <c r="J5" s="24"/>
      <c r="K5" s="25"/>
    </row>
    <row r="6">
      <c r="D6" s="7"/>
      <c r="E6" s="63" t="s">
        <v>62</v>
      </c>
      <c r="F6" s="63" t="s">
        <v>63</v>
      </c>
      <c r="G6" s="63" t="s">
        <v>64</v>
      </c>
      <c r="H6" s="63" t="s">
        <v>65</v>
      </c>
      <c r="I6" s="63" t="s">
        <v>66</v>
      </c>
      <c r="J6" s="64" t="s">
        <v>67</v>
      </c>
      <c r="K6" s="63" t="s">
        <v>68</v>
      </c>
    </row>
    <row r="7">
      <c r="D7" s="65" t="s">
        <v>96</v>
      </c>
      <c r="E7" s="66" t="s">
        <v>97</v>
      </c>
      <c r="F7" s="67">
        <v>2.0</v>
      </c>
      <c r="G7" s="68" t="s">
        <v>98</v>
      </c>
      <c r="H7" s="69">
        <v>972.0</v>
      </c>
      <c r="I7" s="70">
        <f>D3*H7</f>
        <v>3634337.16</v>
      </c>
      <c r="J7" s="70">
        <f t="shared" ref="J7:J18" si="1">I7*1.045</f>
        <v>3797882.332</v>
      </c>
      <c r="K7" s="70">
        <f t="shared" ref="K7:K18" si="2">J7*F7</f>
        <v>7595764.664</v>
      </c>
    </row>
    <row r="8">
      <c r="D8" s="65" t="s">
        <v>99</v>
      </c>
      <c r="E8" s="66" t="s">
        <v>100</v>
      </c>
      <c r="F8" s="67">
        <v>2.0</v>
      </c>
      <c r="G8" s="71" t="s">
        <v>101</v>
      </c>
      <c r="H8" s="72">
        <v>670.0</v>
      </c>
      <c r="I8" s="70">
        <f>D3*H8</f>
        <v>2505150.1</v>
      </c>
      <c r="J8" s="70">
        <f t="shared" si="1"/>
        <v>2617881.855</v>
      </c>
      <c r="K8" s="70">
        <f t="shared" si="2"/>
        <v>5235763.709</v>
      </c>
    </row>
    <row r="9">
      <c r="D9" s="65" t="s">
        <v>102</v>
      </c>
      <c r="E9" s="66" t="s">
        <v>103</v>
      </c>
      <c r="F9" s="67">
        <v>2.0</v>
      </c>
      <c r="G9" s="73" t="s">
        <v>104</v>
      </c>
      <c r="H9" s="72">
        <v>349.0</v>
      </c>
      <c r="I9" s="70">
        <f t="shared" ref="I9:I10" si="3">D3*H9</f>
        <v>1304921.47</v>
      </c>
      <c r="J9" s="70">
        <f t="shared" si="1"/>
        <v>1363642.936</v>
      </c>
      <c r="K9" s="70">
        <f t="shared" si="2"/>
        <v>2727285.872</v>
      </c>
    </row>
    <row r="10">
      <c r="D10" s="65" t="s">
        <v>105</v>
      </c>
      <c r="E10" s="66" t="s">
        <v>106</v>
      </c>
      <c r="F10" s="67">
        <v>1.0</v>
      </c>
      <c r="G10" s="73" t="s">
        <v>107</v>
      </c>
      <c r="H10" s="72">
        <v>19.9</v>
      </c>
      <c r="I10" s="70">
        <f t="shared" si="3"/>
        <v>74406.697</v>
      </c>
      <c r="J10" s="70">
        <f t="shared" si="1"/>
        <v>77754.99837</v>
      </c>
      <c r="K10" s="70">
        <f t="shared" si="2"/>
        <v>77754.99837</v>
      </c>
    </row>
    <row r="11">
      <c r="D11" s="65" t="s">
        <v>108</v>
      </c>
      <c r="E11" s="74" t="s">
        <v>109</v>
      </c>
      <c r="F11" s="67">
        <v>1.0</v>
      </c>
      <c r="G11" s="73" t="s">
        <v>110</v>
      </c>
      <c r="H11" s="72">
        <v>19.0</v>
      </c>
      <c r="I11" s="75">
        <v>4887000.0</v>
      </c>
      <c r="J11" s="70">
        <f t="shared" si="1"/>
        <v>5106915</v>
      </c>
      <c r="K11" s="70">
        <f t="shared" si="2"/>
        <v>5106915</v>
      </c>
    </row>
    <row r="12">
      <c r="D12" s="65" t="s">
        <v>111</v>
      </c>
      <c r="E12" s="66" t="s">
        <v>112</v>
      </c>
      <c r="F12" s="67">
        <v>2.0</v>
      </c>
      <c r="G12" s="71" t="s">
        <v>113</v>
      </c>
      <c r="H12" s="72">
        <v>199.0</v>
      </c>
      <c r="I12" s="70">
        <f t="shared" ref="I12:I13" si="4">D3*H12</f>
        <v>744066.97</v>
      </c>
      <c r="J12" s="70">
        <f t="shared" si="1"/>
        <v>777549.9837</v>
      </c>
      <c r="K12" s="70">
        <f t="shared" si="2"/>
        <v>1555099.967</v>
      </c>
    </row>
    <row r="13">
      <c r="D13" s="65" t="s">
        <v>114</v>
      </c>
      <c r="E13" s="66" t="s">
        <v>115</v>
      </c>
      <c r="F13" s="67">
        <v>30.0</v>
      </c>
      <c r="G13" s="76" t="s">
        <v>116</v>
      </c>
      <c r="H13" s="77">
        <v>239.0</v>
      </c>
      <c r="I13" s="70">
        <f t="shared" si="4"/>
        <v>893628.17</v>
      </c>
      <c r="J13" s="70">
        <f t="shared" si="1"/>
        <v>933841.4377</v>
      </c>
      <c r="K13" s="70">
        <f t="shared" si="2"/>
        <v>28015243.13</v>
      </c>
    </row>
    <row r="14">
      <c r="D14" s="65" t="s">
        <v>117</v>
      </c>
      <c r="E14" s="66" t="s">
        <v>118</v>
      </c>
      <c r="F14" s="67">
        <v>2.0</v>
      </c>
      <c r="G14" s="73" t="s">
        <v>119</v>
      </c>
      <c r="H14" s="72">
        <v>1239.99</v>
      </c>
      <c r="I14" s="70">
        <f>D3*H14</f>
        <v>4636359.81</v>
      </c>
      <c r="J14" s="70">
        <f t="shared" si="1"/>
        <v>4844996.001</v>
      </c>
      <c r="K14" s="70">
        <f t="shared" si="2"/>
        <v>9689992.002</v>
      </c>
    </row>
    <row r="15">
      <c r="D15" s="65" t="s">
        <v>120</v>
      </c>
      <c r="E15" s="66" t="s">
        <v>121</v>
      </c>
      <c r="F15" s="78">
        <v>2.0</v>
      </c>
      <c r="G15" s="73" t="s">
        <v>122</v>
      </c>
      <c r="H15" s="72">
        <v>700.0</v>
      </c>
      <c r="I15" s="70">
        <f t="shared" ref="I15:I16" si="5">D3*H15</f>
        <v>2617321</v>
      </c>
      <c r="J15" s="70">
        <f t="shared" si="1"/>
        <v>2735100.445</v>
      </c>
      <c r="K15" s="70">
        <f t="shared" si="2"/>
        <v>5470200.89</v>
      </c>
    </row>
    <row r="16">
      <c r="D16" s="7"/>
      <c r="E16" s="79" t="s">
        <v>123</v>
      </c>
      <c r="F16" s="78">
        <v>2.0</v>
      </c>
      <c r="G16" s="73" t="s">
        <v>124</v>
      </c>
      <c r="H16" s="72">
        <v>750.0</v>
      </c>
      <c r="I16" s="70">
        <f t="shared" si="5"/>
        <v>2804272.5</v>
      </c>
      <c r="J16" s="70">
        <f t="shared" si="1"/>
        <v>2930464.763</v>
      </c>
      <c r="K16" s="70">
        <f t="shared" si="2"/>
        <v>5860929.525</v>
      </c>
    </row>
    <row r="17">
      <c r="D17" s="7"/>
      <c r="E17" s="79" t="s">
        <v>125</v>
      </c>
      <c r="F17" s="78">
        <v>1.0</v>
      </c>
      <c r="G17" s="78" t="s">
        <v>126</v>
      </c>
      <c r="H17" s="80">
        <v>5527.6</v>
      </c>
      <c r="I17" s="70">
        <f>SUM('Lista On Premise'!I6+'Lista On Premise'!I7)*50%</f>
        <v>20466365.9</v>
      </c>
      <c r="J17" s="70">
        <f t="shared" si="1"/>
        <v>21387352.37</v>
      </c>
      <c r="K17" s="70">
        <f t="shared" si="2"/>
        <v>21387352.37</v>
      </c>
    </row>
    <row r="18">
      <c r="D18" s="7"/>
      <c r="E18" s="79" t="s">
        <v>127</v>
      </c>
      <c r="F18" s="78">
        <v>1.0</v>
      </c>
      <c r="G18" s="78" t="s">
        <v>126</v>
      </c>
      <c r="H18" s="81">
        <v>1438.0</v>
      </c>
      <c r="I18" s="70">
        <f>SUM(K14+K15+K16)*50%</f>
        <v>10510561.21</v>
      </c>
      <c r="J18" s="82">
        <f t="shared" si="1"/>
        <v>10983536.46</v>
      </c>
      <c r="K18" s="82">
        <f t="shared" si="2"/>
        <v>10983536.46</v>
      </c>
    </row>
    <row r="19">
      <c r="I19" s="83" t="s">
        <v>128</v>
      </c>
      <c r="J19" s="78" t="s">
        <v>88</v>
      </c>
      <c r="K19" s="84">
        <f>SUM(K7:K18)</f>
        <v>103705838.6</v>
      </c>
    </row>
    <row r="21">
      <c r="J21" s="85"/>
      <c r="K21" s="86"/>
    </row>
    <row r="23">
      <c r="J23" s="87" t="s">
        <v>89</v>
      </c>
      <c r="K23" s="88">
        <f>SUM(H26:H37)*60%</f>
        <v>151083824.2</v>
      </c>
    </row>
    <row r="24" ht="69.75" customHeight="1">
      <c r="E24" s="30"/>
      <c r="F24" s="24"/>
      <c r="G24" s="24"/>
      <c r="H24" s="25"/>
    </row>
    <row r="25">
      <c r="E25" s="87" t="s">
        <v>90</v>
      </c>
      <c r="F25" s="87" t="s">
        <v>91</v>
      </c>
      <c r="G25" s="87" t="s">
        <v>92</v>
      </c>
      <c r="H25" s="87" t="s">
        <v>93</v>
      </c>
    </row>
    <row r="26">
      <c r="E26" s="89" t="s">
        <v>97</v>
      </c>
      <c r="F26" s="38">
        <v>2.0</v>
      </c>
      <c r="G26" s="90">
        <f t="shared" ref="G26:G37" si="6">I7*1.045</f>
        <v>3797882.332</v>
      </c>
      <c r="H26" s="91">
        <f t="shared" ref="H26:H37" si="7">F26*G26</f>
        <v>7595764.664</v>
      </c>
    </row>
    <row r="27">
      <c r="E27" s="89" t="s">
        <v>100</v>
      </c>
      <c r="F27" s="38">
        <v>2.0</v>
      </c>
      <c r="G27" s="90">
        <f t="shared" si="6"/>
        <v>2617881.855</v>
      </c>
      <c r="H27" s="91">
        <f t="shared" si="7"/>
        <v>5235763.709</v>
      </c>
    </row>
    <row r="28">
      <c r="E28" s="89" t="s">
        <v>103</v>
      </c>
      <c r="F28" s="38">
        <v>2.0</v>
      </c>
      <c r="G28" s="90">
        <f t="shared" si="6"/>
        <v>1363642.936</v>
      </c>
      <c r="H28" s="91">
        <f t="shared" si="7"/>
        <v>2727285.872</v>
      </c>
    </row>
    <row r="29">
      <c r="E29" s="89" t="s">
        <v>106</v>
      </c>
      <c r="F29" s="38">
        <v>1.0</v>
      </c>
      <c r="G29" s="90">
        <f t="shared" si="6"/>
        <v>77754.99837</v>
      </c>
      <c r="H29" s="91">
        <f t="shared" si="7"/>
        <v>77754.99837</v>
      </c>
    </row>
    <row r="30">
      <c r="E30" s="38" t="s">
        <v>129</v>
      </c>
      <c r="F30" s="38">
        <v>30.0</v>
      </c>
      <c r="G30" s="90">
        <f t="shared" si="6"/>
        <v>5106915</v>
      </c>
      <c r="H30" s="91">
        <f t="shared" si="7"/>
        <v>153207450</v>
      </c>
    </row>
    <row r="31">
      <c r="E31" s="89" t="s">
        <v>112</v>
      </c>
      <c r="F31" s="38">
        <v>2.0</v>
      </c>
      <c r="G31" s="90">
        <f t="shared" si="6"/>
        <v>777549.9837</v>
      </c>
      <c r="H31" s="91">
        <f t="shared" si="7"/>
        <v>1555099.967</v>
      </c>
    </row>
    <row r="32">
      <c r="E32" s="89" t="s">
        <v>115</v>
      </c>
      <c r="F32" s="38">
        <v>30.0</v>
      </c>
      <c r="G32" s="90">
        <f t="shared" si="6"/>
        <v>933841.4377</v>
      </c>
      <c r="H32" s="91">
        <f t="shared" si="7"/>
        <v>28015243.13</v>
      </c>
    </row>
    <row r="33">
      <c r="E33" s="89" t="s">
        <v>118</v>
      </c>
      <c r="F33" s="38">
        <v>2.0</v>
      </c>
      <c r="G33" s="90">
        <f t="shared" si="6"/>
        <v>4844996.001</v>
      </c>
      <c r="H33" s="91">
        <f t="shared" si="7"/>
        <v>9689992.002</v>
      </c>
    </row>
    <row r="34">
      <c r="E34" s="89" t="s">
        <v>121</v>
      </c>
      <c r="F34" s="38">
        <v>2.0</v>
      </c>
      <c r="G34" s="90">
        <f t="shared" si="6"/>
        <v>2735100.445</v>
      </c>
      <c r="H34" s="91">
        <f t="shared" si="7"/>
        <v>5470200.89</v>
      </c>
    </row>
    <row r="35">
      <c r="E35" s="92" t="s">
        <v>123</v>
      </c>
      <c r="F35" s="38">
        <v>2.0</v>
      </c>
      <c r="G35" s="90">
        <f t="shared" si="6"/>
        <v>2930464.763</v>
      </c>
      <c r="H35" s="91">
        <f t="shared" si="7"/>
        <v>5860929.525</v>
      </c>
    </row>
    <row r="36">
      <c r="E36" s="92" t="s">
        <v>125</v>
      </c>
      <c r="F36" s="38">
        <v>1.0</v>
      </c>
      <c r="G36" s="90">
        <f t="shared" si="6"/>
        <v>21387352.37</v>
      </c>
      <c r="H36" s="91">
        <f t="shared" si="7"/>
        <v>21387352.37</v>
      </c>
    </row>
    <row r="37">
      <c r="E37" s="92" t="s">
        <v>127</v>
      </c>
      <c r="F37" s="38">
        <v>1.0</v>
      </c>
      <c r="G37" s="93">
        <f t="shared" si="6"/>
        <v>10983536.46</v>
      </c>
      <c r="H37" s="91">
        <f t="shared" si="7"/>
        <v>10983536.46</v>
      </c>
    </row>
    <row r="38">
      <c r="F38" s="94" t="s">
        <v>128</v>
      </c>
      <c r="G38" s="95" t="s">
        <v>88</v>
      </c>
      <c r="H38" s="96">
        <f>SUM(H26:H37)</f>
        <v>251806373.6</v>
      </c>
    </row>
    <row r="39">
      <c r="G39" s="87" t="s">
        <v>89</v>
      </c>
      <c r="H39" s="88">
        <f>SUM(H26:H37)*60%</f>
        <v>151083824.2</v>
      </c>
    </row>
  </sheetData>
  <mergeCells count="3">
    <mergeCell ref="E4:K4"/>
    <mergeCell ref="E5:K5"/>
    <mergeCell ref="E24:H24"/>
  </mergeCells>
  <hyperlinks>
    <hyperlink r:id="rId1" ref="D7"/>
    <hyperlink r:id="rId2" location="subnav" ref="D8"/>
    <hyperlink r:id="rId3" ref="D9"/>
    <hyperlink r:id="rId4" ref="D10"/>
    <hyperlink r:id="rId5" ref="D11"/>
    <hyperlink r:id="rId6" ref="D12"/>
    <hyperlink r:id="rId7" ref="D13"/>
    <hyperlink r:id="rId8" ref="D14"/>
    <hyperlink r:id="rId9" ref="D15"/>
  </hyperlinks>
  <drawing r:id="rId10"/>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3" max="3" width="55.71"/>
    <col customWidth="1" min="4" max="4" width="24.14"/>
    <col customWidth="1" min="6" max="6" width="19.71"/>
    <col customWidth="1" min="8" max="8" width="22.57"/>
    <col customWidth="1" min="9" max="9" width="22.14"/>
    <col customWidth="1" min="10" max="10" width="26.14"/>
    <col customWidth="1" min="11" max="11" width="20.14"/>
    <col customWidth="1" min="15" max="15" width="19.43"/>
    <col customWidth="1" min="19" max="19" width="19.86"/>
  </cols>
  <sheetData>
    <row r="1">
      <c r="B1" s="97"/>
      <c r="C1" s="98" t="s">
        <v>130</v>
      </c>
      <c r="D1" s="24"/>
      <c r="E1" s="24"/>
      <c r="F1" s="24"/>
      <c r="G1" s="24"/>
      <c r="H1" s="24"/>
      <c r="I1" s="24"/>
      <c r="J1" s="24"/>
      <c r="K1" s="24"/>
    </row>
    <row r="2">
      <c r="B2" s="28" t="s">
        <v>131</v>
      </c>
      <c r="C2" s="99" t="s">
        <v>62</v>
      </c>
      <c r="D2" s="99" t="s">
        <v>132</v>
      </c>
      <c r="E2" s="99" t="s">
        <v>63</v>
      </c>
      <c r="F2" s="99" t="s">
        <v>133</v>
      </c>
      <c r="G2" s="99" t="s">
        <v>134</v>
      </c>
      <c r="H2" s="99" t="s">
        <v>135</v>
      </c>
      <c r="I2" s="99" t="s">
        <v>136</v>
      </c>
      <c r="J2" s="99" t="s">
        <v>137</v>
      </c>
      <c r="K2" s="99" t="s">
        <v>138</v>
      </c>
    </row>
    <row r="3">
      <c r="B3" s="100">
        <v>3730.45</v>
      </c>
      <c r="C3" s="101"/>
      <c r="D3" s="101"/>
      <c r="E3" s="101"/>
      <c r="F3" s="101"/>
      <c r="G3" s="101"/>
      <c r="H3" s="101"/>
      <c r="I3" s="101"/>
      <c r="J3" s="101"/>
      <c r="K3" s="101"/>
    </row>
    <row r="4">
      <c r="B4" s="102">
        <f>B3*1.1</f>
        <v>4103.495</v>
      </c>
      <c r="C4" s="103" t="s">
        <v>139</v>
      </c>
      <c r="D4" s="78" t="s">
        <v>140</v>
      </c>
      <c r="E4" s="78">
        <v>2.0</v>
      </c>
      <c r="F4" s="78" t="s">
        <v>141</v>
      </c>
      <c r="G4" s="104">
        <v>12.0</v>
      </c>
      <c r="H4" s="105">
        <f>G4*B4</f>
        <v>49241.94</v>
      </c>
      <c r="I4" s="105">
        <f t="shared" ref="I4:I7" si="1">H4*1.19</f>
        <v>58597.9086</v>
      </c>
      <c r="J4" s="105">
        <f t="shared" ref="J4:J7" si="2">H4*1.035</f>
        <v>50965.4079</v>
      </c>
      <c r="K4" s="105">
        <f t="shared" ref="K4:K7" si="3">J4*E4</f>
        <v>101930.8158</v>
      </c>
      <c r="O4" s="106"/>
      <c r="P4" s="107"/>
      <c r="Q4" s="107"/>
      <c r="R4" s="107"/>
      <c r="S4" s="107"/>
      <c r="T4" s="108"/>
    </row>
    <row r="5">
      <c r="C5" s="103" t="s">
        <v>142</v>
      </c>
      <c r="D5" s="78" t="s">
        <v>140</v>
      </c>
      <c r="E5" s="78">
        <v>2.0</v>
      </c>
      <c r="F5" s="78" t="s">
        <v>141</v>
      </c>
      <c r="G5" s="104">
        <v>6.0</v>
      </c>
      <c r="H5" s="105">
        <f>G5*B4</f>
        <v>24620.97</v>
      </c>
      <c r="I5" s="105">
        <f t="shared" si="1"/>
        <v>29298.9543</v>
      </c>
      <c r="J5" s="105">
        <f t="shared" si="2"/>
        <v>25482.70395</v>
      </c>
      <c r="K5" s="105">
        <f t="shared" si="3"/>
        <v>50965.4079</v>
      </c>
      <c r="O5" s="109"/>
      <c r="T5" s="110"/>
    </row>
    <row r="6">
      <c r="C6" s="103" t="s">
        <v>143</v>
      </c>
      <c r="D6" s="78" t="s">
        <v>140</v>
      </c>
      <c r="E6" s="78">
        <v>2.0</v>
      </c>
      <c r="F6" s="78" t="s">
        <v>141</v>
      </c>
      <c r="G6" s="104">
        <v>70.0</v>
      </c>
      <c r="H6" s="105">
        <f>G6*B4</f>
        <v>287244.65</v>
      </c>
      <c r="I6" s="105">
        <f t="shared" si="1"/>
        <v>341821.1335</v>
      </c>
      <c r="J6" s="105">
        <f t="shared" si="2"/>
        <v>297298.2128</v>
      </c>
      <c r="K6" s="105">
        <f t="shared" si="3"/>
        <v>594596.4255</v>
      </c>
      <c r="O6" s="109"/>
      <c r="T6" s="110"/>
    </row>
    <row r="7">
      <c r="C7" s="111" t="s">
        <v>144</v>
      </c>
      <c r="D7" s="112" t="s">
        <v>140</v>
      </c>
      <c r="E7" s="112">
        <v>2.0</v>
      </c>
      <c r="F7" s="112" t="s">
        <v>141</v>
      </c>
      <c r="G7" s="113">
        <v>17.0</v>
      </c>
      <c r="H7" s="114">
        <f>G7*B4</f>
        <v>69759.415</v>
      </c>
      <c r="I7" s="114">
        <f t="shared" si="1"/>
        <v>83013.70385</v>
      </c>
      <c r="J7" s="114">
        <f t="shared" si="2"/>
        <v>72200.99453</v>
      </c>
      <c r="K7" s="114">
        <f t="shared" si="3"/>
        <v>144401.9891</v>
      </c>
      <c r="O7" s="115"/>
      <c r="P7" s="32"/>
      <c r="Q7" s="32"/>
      <c r="R7" s="32"/>
      <c r="S7" s="32"/>
      <c r="T7" s="33"/>
    </row>
    <row r="8">
      <c r="C8" s="116"/>
      <c r="D8" s="117"/>
      <c r="E8" s="117"/>
      <c r="F8" s="117"/>
      <c r="G8" s="118"/>
      <c r="H8" s="119"/>
      <c r="I8" s="120"/>
      <c r="J8" s="120"/>
      <c r="K8" s="120"/>
      <c r="O8" s="99" t="s">
        <v>62</v>
      </c>
      <c r="P8" s="99" t="s">
        <v>132</v>
      </c>
      <c r="Q8" s="99" t="s">
        <v>63</v>
      </c>
      <c r="R8" s="99" t="s">
        <v>133</v>
      </c>
      <c r="S8" s="99" t="s">
        <v>145</v>
      </c>
      <c r="T8" s="99" t="s">
        <v>146</v>
      </c>
    </row>
    <row r="9" ht="75.0" customHeight="1">
      <c r="G9" s="121"/>
      <c r="H9" s="122"/>
      <c r="I9" s="123"/>
      <c r="J9" s="124" t="s">
        <v>147</v>
      </c>
      <c r="K9" s="125">
        <f>SUM(K4:K7)</f>
        <v>891894.6383</v>
      </c>
      <c r="O9" s="101"/>
      <c r="P9" s="101"/>
      <c r="Q9" s="101"/>
      <c r="R9" s="101"/>
      <c r="S9" s="101"/>
      <c r="T9" s="101"/>
    </row>
    <row r="10">
      <c r="C10" s="85"/>
      <c r="D10" s="85"/>
      <c r="E10" s="126"/>
      <c r="F10" s="122"/>
      <c r="G10" s="123"/>
      <c r="H10" s="123"/>
      <c r="I10" s="123"/>
      <c r="O10" s="127" t="s">
        <v>139</v>
      </c>
      <c r="P10" s="128" t="s">
        <v>148</v>
      </c>
      <c r="Q10" s="128">
        <v>2.0</v>
      </c>
      <c r="R10" s="128" t="s">
        <v>149</v>
      </c>
      <c r="S10" s="129">
        <f t="shared" ref="S10:S13" si="4">H4*1.035</f>
        <v>50965.4079</v>
      </c>
      <c r="T10" s="130">
        <f t="shared" ref="T10:T13" si="5">S10*Q10</f>
        <v>101930.8158</v>
      </c>
    </row>
    <row r="11">
      <c r="C11" s="131"/>
      <c r="D11" s="131"/>
      <c r="E11" s="126"/>
      <c r="F11" s="122"/>
      <c r="G11" s="123"/>
      <c r="H11" s="123"/>
      <c r="I11" s="123"/>
      <c r="O11" s="132" t="s">
        <v>142</v>
      </c>
      <c r="P11" s="133" t="s">
        <v>148</v>
      </c>
      <c r="Q11" s="133">
        <v>2.0</v>
      </c>
      <c r="R11" s="133" t="s">
        <v>149</v>
      </c>
      <c r="S11" s="129">
        <f t="shared" si="4"/>
        <v>25482.70395</v>
      </c>
      <c r="T11" s="130">
        <f t="shared" si="5"/>
        <v>50965.4079</v>
      </c>
    </row>
    <row r="12">
      <c r="C12" s="131"/>
      <c r="D12" s="131"/>
      <c r="E12" s="121"/>
      <c r="F12" s="122"/>
      <c r="G12" s="123"/>
      <c r="H12" s="123"/>
      <c r="I12" s="123"/>
      <c r="O12" s="134" t="s">
        <v>150</v>
      </c>
      <c r="P12" s="133" t="s">
        <v>148</v>
      </c>
      <c r="Q12" s="133">
        <v>2.0</v>
      </c>
      <c r="R12" s="133" t="s">
        <v>149</v>
      </c>
      <c r="S12" s="129">
        <f t="shared" si="4"/>
        <v>297298.2128</v>
      </c>
      <c r="T12" s="130">
        <f t="shared" si="5"/>
        <v>594596.4255</v>
      </c>
    </row>
    <row r="13">
      <c r="C13" s="131"/>
      <c r="D13" s="131"/>
      <c r="E13" s="126"/>
      <c r="F13" s="122"/>
      <c r="G13" s="123"/>
      <c r="H13" s="123"/>
      <c r="I13" s="123"/>
      <c r="O13" s="132" t="s">
        <v>144</v>
      </c>
      <c r="P13" s="133" t="s">
        <v>148</v>
      </c>
      <c r="Q13" s="133">
        <v>2.0</v>
      </c>
      <c r="R13" s="133" t="s">
        <v>149</v>
      </c>
      <c r="S13" s="129">
        <f t="shared" si="4"/>
        <v>72200.99453</v>
      </c>
      <c r="T13" s="130">
        <f t="shared" si="5"/>
        <v>144401.9891</v>
      </c>
    </row>
    <row r="14">
      <c r="C14" s="131"/>
      <c r="D14" s="131"/>
      <c r="E14" s="126"/>
      <c r="F14" s="122"/>
      <c r="G14" s="123"/>
      <c r="H14" s="123"/>
      <c r="I14" s="123"/>
      <c r="O14" s="135"/>
      <c r="P14" s="135"/>
      <c r="Q14" s="135"/>
      <c r="R14" s="136"/>
      <c r="S14" s="137" t="s">
        <v>147</v>
      </c>
      <c r="T14" s="138">
        <f>SUM(T9:T12)</f>
        <v>747492.6492</v>
      </c>
    </row>
    <row r="15">
      <c r="C15" s="131"/>
      <c r="D15" s="131"/>
      <c r="E15" s="126"/>
      <c r="F15" s="122"/>
      <c r="G15" s="123"/>
      <c r="H15" s="123"/>
      <c r="I15" s="123"/>
      <c r="O15" s="135"/>
      <c r="P15" s="135"/>
      <c r="Q15" s="135"/>
      <c r="R15" s="136"/>
      <c r="S15" s="133" t="s">
        <v>88</v>
      </c>
      <c r="T15" s="139">
        <f>SUM(T10:T13)*60%</f>
        <v>535136.783</v>
      </c>
    </row>
    <row r="16">
      <c r="C16" s="140"/>
      <c r="D16" s="131"/>
      <c r="E16" s="131"/>
      <c r="F16" s="131"/>
      <c r="G16" s="126"/>
      <c r="H16" s="122"/>
      <c r="I16" s="123"/>
      <c r="J16" s="123"/>
      <c r="K16" s="123"/>
      <c r="O16" s="141"/>
      <c r="P16" s="142"/>
      <c r="Q16" s="44"/>
      <c r="R16" s="142"/>
      <c r="S16" s="44"/>
      <c r="T16" s="44"/>
    </row>
    <row r="17">
      <c r="C17" s="140"/>
      <c r="D17" s="131"/>
      <c r="E17" s="131"/>
      <c r="F17" s="131"/>
      <c r="G17" s="126"/>
      <c r="H17" s="122"/>
      <c r="I17" s="123"/>
      <c r="J17" s="123"/>
      <c r="K17" s="123"/>
      <c r="O17" s="141"/>
      <c r="P17" s="142"/>
      <c r="Q17" s="44"/>
      <c r="R17" s="142"/>
      <c r="S17" s="44"/>
      <c r="T17" s="44"/>
    </row>
    <row r="18">
      <c r="C18" s="140"/>
      <c r="D18" s="131"/>
      <c r="E18" s="131"/>
      <c r="F18" s="131"/>
      <c r="G18" s="126"/>
      <c r="H18" s="122"/>
      <c r="I18" s="123"/>
      <c r="J18" s="123"/>
      <c r="K18" s="123"/>
      <c r="O18" s="141"/>
      <c r="P18" s="142"/>
      <c r="Q18" s="44"/>
      <c r="R18" s="142"/>
      <c r="S18" s="44"/>
      <c r="T18" s="44"/>
    </row>
    <row r="19">
      <c r="C19" s="140"/>
      <c r="D19" s="131"/>
      <c r="E19" s="131"/>
      <c r="F19" s="131"/>
      <c r="G19" s="126"/>
      <c r="H19" s="122"/>
      <c r="I19" s="122"/>
      <c r="J19" s="123"/>
      <c r="K19" s="123"/>
      <c r="O19" s="143"/>
      <c r="P19" s="142"/>
      <c r="Q19" s="44"/>
      <c r="R19" s="142"/>
      <c r="S19" s="44"/>
      <c r="T19" s="44"/>
    </row>
    <row r="20">
      <c r="C20" s="140"/>
      <c r="D20" s="131"/>
      <c r="E20" s="131"/>
      <c r="F20" s="131"/>
      <c r="G20" s="126"/>
      <c r="H20" s="122"/>
      <c r="I20" s="122"/>
      <c r="J20" s="123"/>
      <c r="K20" s="123"/>
      <c r="O20" s="141"/>
      <c r="P20" s="142"/>
      <c r="Q20" s="44"/>
      <c r="R20" s="142"/>
      <c r="S20" s="44"/>
      <c r="T20" s="44"/>
    </row>
    <row r="21">
      <c r="C21" s="140"/>
      <c r="D21" s="131"/>
      <c r="E21" s="131"/>
      <c r="F21" s="131"/>
      <c r="G21" s="126"/>
      <c r="H21" s="122"/>
      <c r="I21" s="122"/>
      <c r="J21" s="123"/>
      <c r="K21" s="123"/>
      <c r="O21" s="141"/>
      <c r="P21" s="142"/>
      <c r="Q21" s="44"/>
      <c r="R21" s="142"/>
      <c r="S21" s="44"/>
      <c r="T21" s="44"/>
    </row>
    <row r="22">
      <c r="C22" s="140"/>
      <c r="D22" s="131"/>
      <c r="E22" s="131"/>
      <c r="F22" s="131"/>
      <c r="G22" s="126"/>
      <c r="H22" s="122"/>
      <c r="I22" s="122"/>
      <c r="J22" s="123"/>
      <c r="K22" s="123"/>
      <c r="O22" s="141"/>
      <c r="P22" s="142"/>
      <c r="Q22" s="44"/>
      <c r="R22" s="142"/>
      <c r="S22" s="44"/>
      <c r="T22" s="44"/>
    </row>
    <row r="23">
      <c r="C23" s="140"/>
      <c r="D23" s="131"/>
      <c r="E23" s="131"/>
      <c r="F23" s="131"/>
      <c r="G23" s="126"/>
      <c r="H23" s="122"/>
      <c r="I23" s="122"/>
      <c r="J23" s="123"/>
      <c r="K23" s="123"/>
      <c r="O23" s="141"/>
      <c r="P23" s="142"/>
      <c r="Q23" s="142"/>
      <c r="R23" s="142"/>
      <c r="S23" s="44"/>
      <c r="T23" s="44"/>
    </row>
    <row r="24">
      <c r="C24" s="144"/>
      <c r="D24" s="131"/>
      <c r="E24" s="131"/>
      <c r="F24" s="131"/>
      <c r="G24" s="126"/>
      <c r="H24" s="122"/>
      <c r="I24" s="122"/>
      <c r="J24" s="123"/>
      <c r="K24" s="123"/>
      <c r="O24" s="141"/>
      <c r="P24" s="142"/>
      <c r="Q24" s="44"/>
      <c r="R24" s="142"/>
      <c r="S24" s="44"/>
      <c r="T24" s="44"/>
    </row>
    <row r="25">
      <c r="C25" s="140"/>
      <c r="D25" s="131"/>
      <c r="E25" s="131"/>
      <c r="F25" s="131"/>
      <c r="G25" s="126"/>
      <c r="H25" s="122"/>
      <c r="I25" s="122"/>
      <c r="J25" s="123"/>
      <c r="K25" s="123"/>
      <c r="O25" s="44"/>
      <c r="P25" s="142"/>
      <c r="R25" s="142"/>
    </row>
    <row r="26">
      <c r="C26" s="140"/>
      <c r="D26" s="131"/>
      <c r="E26" s="131"/>
      <c r="F26" s="131"/>
      <c r="G26" s="126"/>
      <c r="H26" s="122"/>
      <c r="I26" s="122"/>
      <c r="J26" s="123"/>
      <c r="K26" s="123"/>
      <c r="O26" s="44"/>
      <c r="P26" s="142"/>
      <c r="Q26" s="44"/>
      <c r="R26" s="142"/>
      <c r="S26" s="44"/>
      <c r="T26" s="44"/>
    </row>
    <row r="27">
      <c r="C27" s="140"/>
      <c r="D27" s="131"/>
      <c r="E27" s="131"/>
      <c r="F27" s="131"/>
      <c r="G27" s="126"/>
      <c r="H27" s="122"/>
      <c r="I27" s="122"/>
      <c r="J27" s="123"/>
      <c r="K27" s="123"/>
      <c r="O27" s="44"/>
      <c r="P27" s="142"/>
      <c r="Q27" s="44"/>
      <c r="R27" s="142"/>
      <c r="S27" s="44"/>
      <c r="T27" s="44"/>
    </row>
    <row r="28">
      <c r="C28" s="140"/>
      <c r="D28" s="131"/>
      <c r="E28" s="131"/>
      <c r="F28" s="131"/>
      <c r="G28" s="126"/>
      <c r="H28" s="122"/>
      <c r="I28" s="122"/>
      <c r="J28" s="123"/>
      <c r="K28" s="123"/>
      <c r="O28" s="44"/>
      <c r="P28" s="142"/>
      <c r="Q28" s="44"/>
      <c r="R28" s="142"/>
      <c r="S28" s="44"/>
      <c r="T28" s="44"/>
    </row>
    <row r="29">
      <c r="O29" s="44"/>
      <c r="P29" s="142"/>
      <c r="Q29" s="44"/>
      <c r="R29" s="142"/>
      <c r="S29" s="44"/>
      <c r="T29" s="44"/>
    </row>
    <row r="30">
      <c r="O30" s="44"/>
      <c r="P30" s="142"/>
      <c r="Q30" s="44"/>
      <c r="R30" s="142"/>
      <c r="S30" s="44"/>
      <c r="T30" s="44"/>
    </row>
    <row r="31">
      <c r="O31" s="44"/>
      <c r="P31" s="142"/>
      <c r="Q31" s="44"/>
      <c r="R31" s="142"/>
      <c r="S31" s="44"/>
      <c r="T31" s="44"/>
    </row>
    <row r="32">
      <c r="O32" s="44"/>
      <c r="P32" s="142"/>
      <c r="Q32" s="44"/>
      <c r="R32" s="142"/>
      <c r="S32" s="44"/>
      <c r="T32" s="44"/>
    </row>
    <row r="33">
      <c r="O33" s="44"/>
      <c r="P33" s="142"/>
      <c r="Q33" s="44"/>
      <c r="R33" s="142"/>
      <c r="S33" s="44"/>
      <c r="T33" s="44"/>
    </row>
    <row r="34">
      <c r="O34" s="145"/>
      <c r="P34" s="145"/>
      <c r="Q34" s="145"/>
      <c r="R34" s="145"/>
      <c r="S34" s="146"/>
      <c r="T34" s="147"/>
    </row>
  </sheetData>
  <mergeCells count="17">
    <mergeCell ref="C1:K1"/>
    <mergeCell ref="C2:C3"/>
    <mergeCell ref="D2:D3"/>
    <mergeCell ref="E2:E3"/>
    <mergeCell ref="F2:F3"/>
    <mergeCell ref="G2:G3"/>
    <mergeCell ref="H2:H3"/>
    <mergeCell ref="K2:K3"/>
    <mergeCell ref="S8:S9"/>
    <mergeCell ref="T8:T9"/>
    <mergeCell ref="I2:I3"/>
    <mergeCell ref="J2:J3"/>
    <mergeCell ref="O4:T7"/>
    <mergeCell ref="O8:O9"/>
    <mergeCell ref="P8:P9"/>
    <mergeCell ref="Q8:Q9"/>
    <mergeCell ref="R8:R9"/>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5" max="5" width="16.14"/>
    <col customWidth="1" min="6" max="7" width="18.29"/>
    <col customWidth="1" min="8" max="8" width="19.14"/>
    <col customWidth="1" min="9" max="9" width="18.71"/>
    <col customWidth="1" min="10" max="10" width="18.43"/>
  </cols>
  <sheetData>
    <row r="2">
      <c r="A2" s="28" t="s">
        <v>131</v>
      </c>
    </row>
    <row r="3">
      <c r="A3" s="100">
        <v>3730.45</v>
      </c>
    </row>
    <row r="4">
      <c r="A4" s="102">
        <f>A3*1.1</f>
        <v>4103.495</v>
      </c>
      <c r="C4" s="148" t="s">
        <v>151</v>
      </c>
      <c r="D4" s="24"/>
      <c r="E4" s="24"/>
      <c r="F4" s="24"/>
      <c r="G4" s="24"/>
      <c r="H4" s="24"/>
      <c r="I4" s="24"/>
      <c r="J4" s="25"/>
    </row>
    <row r="5">
      <c r="C5" s="149" t="s">
        <v>62</v>
      </c>
      <c r="D5" s="150" t="s">
        <v>132</v>
      </c>
      <c r="E5" s="150" t="s">
        <v>63</v>
      </c>
      <c r="F5" s="150" t="s">
        <v>133</v>
      </c>
      <c r="G5" s="150" t="s">
        <v>145</v>
      </c>
      <c r="H5" s="150" t="s">
        <v>152</v>
      </c>
      <c r="I5" s="150" t="s">
        <v>153</v>
      </c>
      <c r="J5" s="150" t="s">
        <v>154</v>
      </c>
    </row>
    <row r="6" ht="26.25" customHeight="1">
      <c r="C6" s="101"/>
      <c r="D6" s="101"/>
      <c r="E6" s="101"/>
      <c r="F6" s="101"/>
      <c r="G6" s="101"/>
      <c r="H6" s="101"/>
      <c r="I6" s="101"/>
      <c r="J6" s="101"/>
    </row>
    <row r="7">
      <c r="C7" s="151" t="s">
        <v>155</v>
      </c>
      <c r="D7" s="151">
        <v>1.0</v>
      </c>
      <c r="E7" s="151">
        <v>1.0</v>
      </c>
      <c r="F7" s="151" t="s">
        <v>156</v>
      </c>
      <c r="G7" s="152">
        <v>4500000.0</v>
      </c>
      <c r="H7" s="153">
        <v>4702500.0</v>
      </c>
      <c r="I7" s="154">
        <f>H7*1.045</f>
        <v>4914112.5</v>
      </c>
      <c r="J7" s="154">
        <f>H7*1.045</f>
        <v>4914112.5</v>
      </c>
    </row>
    <row r="8">
      <c r="C8" s="155" t="s">
        <v>157</v>
      </c>
      <c r="D8" s="151">
        <v>1.0</v>
      </c>
      <c r="E8" s="151">
        <v>1.0</v>
      </c>
      <c r="F8" s="155" t="s">
        <v>156</v>
      </c>
      <c r="G8" s="154">
        <v>6000000.0</v>
      </c>
      <c r="H8" s="154">
        <v>6000000.0</v>
      </c>
      <c r="I8" s="154">
        <f t="shared" ref="I8:J8" si="1">G8*1.045</f>
        <v>6270000</v>
      </c>
      <c r="J8" s="154">
        <f t="shared" si="1"/>
        <v>6270000</v>
      </c>
    </row>
    <row r="9">
      <c r="C9" s="155" t="s">
        <v>158</v>
      </c>
      <c r="D9" s="151">
        <v>1.0</v>
      </c>
      <c r="E9" s="151">
        <v>1.0</v>
      </c>
      <c r="F9" s="155" t="s">
        <v>156</v>
      </c>
      <c r="G9" s="154">
        <v>8000000.0</v>
      </c>
      <c r="H9" s="154">
        <v>8000000.0</v>
      </c>
      <c r="I9" s="154">
        <f t="shared" ref="I9:J9" si="2">G9*1.045</f>
        <v>8360000</v>
      </c>
      <c r="J9" s="154">
        <f t="shared" si="2"/>
        <v>8360000</v>
      </c>
    </row>
    <row r="10">
      <c r="C10" s="155" t="s">
        <v>159</v>
      </c>
      <c r="D10" s="151">
        <v>1.0</v>
      </c>
      <c r="E10" s="151">
        <v>1.0</v>
      </c>
      <c r="F10" s="155" t="s">
        <v>156</v>
      </c>
      <c r="G10" s="154">
        <v>3000000.0</v>
      </c>
      <c r="H10" s="154">
        <v>3000000.0</v>
      </c>
      <c r="I10" s="154">
        <f t="shared" ref="I10:J10" si="3">G10*1.045</f>
        <v>3135000</v>
      </c>
      <c r="J10" s="154">
        <f t="shared" si="3"/>
        <v>3135000</v>
      </c>
    </row>
    <row r="11">
      <c r="C11" s="155" t="s">
        <v>160</v>
      </c>
      <c r="D11" s="151">
        <v>1.0</v>
      </c>
      <c r="E11" s="151">
        <v>1.0</v>
      </c>
      <c r="F11" s="155" t="s">
        <v>156</v>
      </c>
      <c r="G11" s="154">
        <v>2.0E7</v>
      </c>
      <c r="H11" s="154">
        <v>2.0E7</v>
      </c>
      <c r="I11" s="154">
        <f t="shared" ref="I11:J11" si="4">G11*1.045</f>
        <v>20900000</v>
      </c>
      <c r="J11" s="154">
        <f t="shared" si="4"/>
        <v>20900000</v>
      </c>
    </row>
    <row r="12">
      <c r="H12" s="156" t="s">
        <v>161</v>
      </c>
      <c r="I12" s="156" t="s">
        <v>88</v>
      </c>
      <c r="J12" s="157">
        <f>SUM(J7:J11)</f>
        <v>43579112.5</v>
      </c>
    </row>
    <row r="13">
      <c r="C13" s="29"/>
    </row>
    <row r="14">
      <c r="C14" s="158"/>
    </row>
    <row r="15">
      <c r="C15" s="159" t="s">
        <v>90</v>
      </c>
      <c r="D15" s="159" t="s">
        <v>91</v>
      </c>
      <c r="E15" s="159" t="s">
        <v>92</v>
      </c>
      <c r="F15" s="159" t="s">
        <v>162</v>
      </c>
      <c r="I15" s="160"/>
      <c r="J15" s="161"/>
    </row>
    <row r="16">
      <c r="C16" s="151" t="s">
        <v>163</v>
      </c>
      <c r="D16" s="151">
        <v>1.0</v>
      </c>
      <c r="E16" s="162">
        <f t="shared" ref="E16:E20" si="5">H7*1.045</f>
        <v>4914112.5</v>
      </c>
      <c r="F16" s="163">
        <f t="shared" ref="F16:F20" si="6">D16*E16</f>
        <v>4914112.5</v>
      </c>
    </row>
    <row r="17">
      <c r="C17" s="155" t="s">
        <v>157</v>
      </c>
      <c r="D17" s="151">
        <v>1.0</v>
      </c>
      <c r="E17" s="162">
        <f t="shared" si="5"/>
        <v>6270000</v>
      </c>
      <c r="F17" s="163">
        <f t="shared" si="6"/>
        <v>6270000</v>
      </c>
    </row>
    <row r="18">
      <c r="C18" s="155" t="s">
        <v>164</v>
      </c>
      <c r="D18" s="151">
        <v>1.0</v>
      </c>
      <c r="E18" s="162">
        <f t="shared" si="5"/>
        <v>8360000</v>
      </c>
      <c r="F18" s="163">
        <f t="shared" si="6"/>
        <v>8360000</v>
      </c>
    </row>
    <row r="19">
      <c r="C19" s="155" t="s">
        <v>159</v>
      </c>
      <c r="D19" s="151">
        <v>1.0</v>
      </c>
      <c r="E19" s="162">
        <f t="shared" si="5"/>
        <v>3135000</v>
      </c>
      <c r="F19" s="163">
        <f t="shared" si="6"/>
        <v>3135000</v>
      </c>
    </row>
    <row r="20">
      <c r="C20" s="155" t="s">
        <v>165</v>
      </c>
      <c r="D20" s="151">
        <v>1.0</v>
      </c>
      <c r="E20" s="162">
        <f t="shared" si="5"/>
        <v>20900000</v>
      </c>
      <c r="F20" s="163">
        <f t="shared" si="6"/>
        <v>20900000</v>
      </c>
      <c r="H20" s="164"/>
    </row>
    <row r="21">
      <c r="C21" s="165"/>
      <c r="D21" s="166" t="s">
        <v>161</v>
      </c>
      <c r="E21" s="156" t="s">
        <v>88</v>
      </c>
      <c r="F21" s="167">
        <f>SUM(F16:F20)</f>
        <v>43579112.5</v>
      </c>
      <c r="J21" s="164"/>
    </row>
    <row r="22">
      <c r="E22" s="168" t="s">
        <v>89</v>
      </c>
      <c r="F22" s="169">
        <f>SUM(F16:F20)*60%</f>
        <v>26147467.5</v>
      </c>
    </row>
  </sheetData>
  <mergeCells count="10">
    <mergeCell ref="I5:I6"/>
    <mergeCell ref="J5:J6"/>
    <mergeCell ref="C4:J4"/>
    <mergeCell ref="C5:C6"/>
    <mergeCell ref="D5:D6"/>
    <mergeCell ref="E5:E6"/>
    <mergeCell ref="F5:F6"/>
    <mergeCell ref="G5:G6"/>
    <mergeCell ref="H5:H6"/>
    <mergeCell ref="C14:F14"/>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4" width="17.14"/>
    <col customWidth="1" min="6" max="6" width="19.86"/>
    <col customWidth="1" min="7" max="7" width="32.43"/>
    <col customWidth="1" min="8" max="8" width="30.71"/>
    <col customWidth="1" min="9" max="9" width="19.86"/>
    <col customWidth="1" min="10" max="10" width="18.57"/>
    <col customWidth="1" min="11" max="11" width="19.29"/>
    <col customWidth="1" min="18" max="18" width="18.86"/>
    <col customWidth="1" min="20" max="20" width="30.71"/>
    <col customWidth="1" min="21" max="21" width="37.86"/>
    <col customWidth="1" min="22" max="22" width="24.57"/>
    <col customWidth="1" min="23" max="23" width="25.29"/>
    <col customWidth="1" min="27" max="27" width="27.86"/>
    <col customWidth="1" min="28" max="28" width="40.43"/>
    <col customWidth="1" min="29" max="29" width="22.71"/>
    <col customWidth="1" min="30" max="30" width="26.71"/>
  </cols>
  <sheetData>
    <row r="1">
      <c r="A1" s="97"/>
      <c r="B1" s="97"/>
      <c r="C1" s="170"/>
      <c r="D1" s="171" t="s">
        <v>166</v>
      </c>
      <c r="E1" s="24"/>
      <c r="F1" s="24"/>
      <c r="G1" s="24"/>
      <c r="H1" s="24"/>
      <c r="I1" s="24"/>
      <c r="J1" s="24"/>
      <c r="K1" s="25"/>
    </row>
    <row r="2">
      <c r="B2" s="28" t="s">
        <v>59</v>
      </c>
      <c r="C2" s="29">
        <v>3739.03</v>
      </c>
      <c r="D2" s="149" t="s">
        <v>62</v>
      </c>
      <c r="E2" s="150" t="s">
        <v>132</v>
      </c>
      <c r="F2" s="150" t="s">
        <v>63</v>
      </c>
      <c r="G2" s="150" t="s">
        <v>133</v>
      </c>
      <c r="H2" s="150" t="s">
        <v>145</v>
      </c>
      <c r="I2" s="150" t="s">
        <v>152</v>
      </c>
      <c r="J2" s="150" t="s">
        <v>153</v>
      </c>
      <c r="K2" s="150" t="s">
        <v>154</v>
      </c>
      <c r="R2" s="172" t="s">
        <v>167</v>
      </c>
      <c r="Y2" s="173" t="s">
        <v>168</v>
      </c>
      <c r="AB2" s="174"/>
      <c r="AC2" s="175"/>
      <c r="AD2" s="175"/>
    </row>
    <row r="3" ht="24.0" customHeight="1">
      <c r="B3" s="28" t="s">
        <v>60</v>
      </c>
      <c r="C3" s="29">
        <v>3739.03</v>
      </c>
      <c r="D3" s="101"/>
      <c r="E3" s="101"/>
      <c r="F3" s="101"/>
      <c r="G3" s="101"/>
      <c r="H3" s="101"/>
      <c r="I3" s="101"/>
      <c r="J3" s="101"/>
      <c r="K3" s="101"/>
      <c r="R3" s="176" t="s">
        <v>169</v>
      </c>
      <c r="Y3" s="177" t="s">
        <v>169</v>
      </c>
      <c r="AB3" s="174"/>
      <c r="AC3" s="175"/>
      <c r="AD3" s="175"/>
    </row>
    <row r="4">
      <c r="D4" s="151" t="s">
        <v>155</v>
      </c>
      <c r="E4" s="151">
        <v>1.0</v>
      </c>
      <c r="F4" s="151">
        <v>1.0</v>
      </c>
      <c r="G4" s="151" t="s">
        <v>156</v>
      </c>
      <c r="H4" s="154">
        <v>1.25E8</v>
      </c>
      <c r="I4" s="154">
        <v>1.25E8</v>
      </c>
      <c r="J4" s="154">
        <f>I4*1.045</f>
        <v>130625000</v>
      </c>
      <c r="K4" s="154">
        <f>I4*1.045</f>
        <v>130625000</v>
      </c>
      <c r="R4" s="178" t="s">
        <v>170</v>
      </c>
      <c r="S4" s="178" t="s">
        <v>171</v>
      </c>
      <c r="T4" s="178" t="s">
        <v>172</v>
      </c>
      <c r="U4" s="178" t="s">
        <v>173</v>
      </c>
      <c r="V4" s="179" t="s">
        <v>174</v>
      </c>
      <c r="W4" s="179" t="s">
        <v>175</v>
      </c>
      <c r="Y4" s="178" t="s">
        <v>170</v>
      </c>
      <c r="Z4" s="178" t="s">
        <v>171</v>
      </c>
      <c r="AA4" s="178" t="s">
        <v>172</v>
      </c>
      <c r="AB4" s="178" t="s">
        <v>173</v>
      </c>
      <c r="AC4" s="179" t="s">
        <v>174</v>
      </c>
      <c r="AD4" s="179" t="s">
        <v>175</v>
      </c>
    </row>
    <row r="5" ht="45.0" customHeight="1">
      <c r="D5" s="151" t="s">
        <v>157</v>
      </c>
      <c r="E5" s="151">
        <v>1.0</v>
      </c>
      <c r="F5" s="151">
        <v>1.0</v>
      </c>
      <c r="G5" s="151" t="s">
        <v>156</v>
      </c>
      <c r="H5" s="154">
        <v>9000000.0</v>
      </c>
      <c r="I5" s="154">
        <v>6000000.0</v>
      </c>
      <c r="J5" s="154">
        <f t="shared" ref="J5:K5" si="1">H5*1.045</f>
        <v>9405000</v>
      </c>
      <c r="K5" s="154">
        <f t="shared" si="1"/>
        <v>6270000</v>
      </c>
      <c r="R5" s="180" t="s">
        <v>176</v>
      </c>
      <c r="S5" s="174"/>
      <c r="T5" s="180" t="s">
        <v>177</v>
      </c>
      <c r="U5" s="181" t="s">
        <v>178</v>
      </c>
      <c r="V5" s="182">
        <v>1341.22</v>
      </c>
      <c r="W5" s="182">
        <v>0.0</v>
      </c>
      <c r="Y5" s="180" t="s">
        <v>176</v>
      </c>
      <c r="Z5" s="174"/>
      <c r="AA5" s="180" t="s">
        <v>177</v>
      </c>
      <c r="AB5" s="181" t="s">
        <v>179</v>
      </c>
      <c r="AC5" s="182">
        <v>148.4</v>
      </c>
      <c r="AD5" s="182">
        <v>0.0</v>
      </c>
    </row>
    <row r="6">
      <c r="D6" s="151" t="s">
        <v>180</v>
      </c>
      <c r="E6" s="151"/>
      <c r="F6" s="151">
        <v>1.0</v>
      </c>
      <c r="G6" s="151" t="s">
        <v>156</v>
      </c>
      <c r="H6" s="154">
        <v>6000000.0</v>
      </c>
      <c r="I6" s="154">
        <v>8000000.0</v>
      </c>
      <c r="J6" s="154">
        <f t="shared" ref="J6:K6" si="2">H6*1.045</f>
        <v>6270000</v>
      </c>
      <c r="K6" s="154">
        <f t="shared" si="2"/>
        <v>8360000</v>
      </c>
      <c r="R6" s="180" t="s">
        <v>181</v>
      </c>
      <c r="S6" s="174"/>
      <c r="T6" s="183"/>
      <c r="U6" s="184" t="s">
        <v>181</v>
      </c>
      <c r="V6" s="182">
        <v>0.0</v>
      </c>
      <c r="W6" s="182">
        <v>0.0</v>
      </c>
      <c r="Y6" s="180" t="s">
        <v>181</v>
      </c>
      <c r="Z6" s="174"/>
      <c r="AA6" s="183"/>
      <c r="AB6" s="184" t="s">
        <v>181</v>
      </c>
      <c r="AC6" s="182">
        <v>0.0</v>
      </c>
      <c r="AD6" s="182">
        <v>0.0</v>
      </c>
    </row>
    <row r="7">
      <c r="D7" s="151" t="s">
        <v>159</v>
      </c>
      <c r="E7" s="151">
        <v>1.0</v>
      </c>
      <c r="F7" s="151">
        <v>1.0</v>
      </c>
      <c r="G7" s="151" t="s">
        <v>156</v>
      </c>
      <c r="H7" s="154">
        <v>1000000.0</v>
      </c>
      <c r="I7" s="154">
        <v>3000000.0</v>
      </c>
      <c r="J7" s="154">
        <f t="shared" ref="J7:K7" si="3">H7*1.045</f>
        <v>1045000</v>
      </c>
      <c r="K7" s="154">
        <f t="shared" si="3"/>
        <v>3135000</v>
      </c>
      <c r="R7" s="183"/>
      <c r="S7" s="174"/>
      <c r="T7" s="174"/>
      <c r="U7" s="184" t="s">
        <v>182</v>
      </c>
      <c r="V7" s="185" t="s">
        <v>183</v>
      </c>
      <c r="Y7" s="183"/>
      <c r="Z7" s="174"/>
      <c r="AA7" s="174"/>
      <c r="AB7" s="184" t="s">
        <v>182</v>
      </c>
      <c r="AC7" s="185" t="s">
        <v>183</v>
      </c>
    </row>
    <row r="8">
      <c r="D8" s="186" t="s">
        <v>165</v>
      </c>
      <c r="E8" s="186">
        <v>1.0</v>
      </c>
      <c r="F8" s="186">
        <v>1.0</v>
      </c>
      <c r="G8" s="186" t="s">
        <v>156</v>
      </c>
      <c r="H8" s="187">
        <v>800000.0</v>
      </c>
      <c r="I8" s="187">
        <v>2.0E7</v>
      </c>
      <c r="J8" s="187">
        <f t="shared" ref="J8:K8" si="4">H8*1.045</f>
        <v>836000</v>
      </c>
      <c r="K8" s="187">
        <f t="shared" si="4"/>
        <v>20900000</v>
      </c>
      <c r="R8" s="174"/>
      <c r="S8" s="174"/>
      <c r="T8" s="174"/>
      <c r="U8" s="188" t="s">
        <v>88</v>
      </c>
      <c r="V8" s="189">
        <v>1341.22</v>
      </c>
      <c r="W8" s="189">
        <v>0.0</v>
      </c>
      <c r="Y8" s="174"/>
      <c r="Z8" s="174"/>
      <c r="AA8" s="174"/>
      <c r="AB8" s="188" t="s">
        <v>88</v>
      </c>
      <c r="AC8" s="190">
        <v>148.4</v>
      </c>
      <c r="AD8" s="189">
        <v>0.0</v>
      </c>
    </row>
    <row r="9">
      <c r="D9" s="191"/>
      <c r="E9" s="192"/>
      <c r="F9" s="192"/>
      <c r="G9" s="191"/>
      <c r="H9" s="193"/>
      <c r="I9" s="194" t="s">
        <v>161</v>
      </c>
      <c r="J9" s="195" t="s">
        <v>88</v>
      </c>
      <c r="K9" s="196">
        <f>SUM(K4:K8)</f>
        <v>169290000</v>
      </c>
      <c r="R9" s="174"/>
      <c r="S9" s="174"/>
      <c r="T9" s="174"/>
      <c r="U9" s="183"/>
      <c r="V9" s="197"/>
      <c r="W9" s="197"/>
      <c r="Y9" s="174"/>
      <c r="Z9" s="174"/>
      <c r="AA9" s="174"/>
      <c r="AB9" s="183"/>
      <c r="AC9" s="197"/>
      <c r="AD9" s="197"/>
    </row>
    <row r="10">
      <c r="D10" s="198"/>
      <c r="E10" s="199"/>
      <c r="F10" s="199"/>
      <c r="G10" s="198"/>
      <c r="H10" s="200"/>
      <c r="I10" s="193"/>
      <c r="J10" s="193"/>
      <c r="K10" s="193"/>
      <c r="R10" s="184" t="s">
        <v>184</v>
      </c>
      <c r="S10" s="174"/>
      <c r="T10" s="174"/>
      <c r="U10" s="174"/>
      <c r="V10" s="175"/>
      <c r="W10" s="175"/>
      <c r="Y10" s="184" t="s">
        <v>184</v>
      </c>
      <c r="Z10" s="174"/>
      <c r="AA10" s="174"/>
      <c r="AB10" s="174"/>
      <c r="AC10" s="175"/>
      <c r="AD10" s="175"/>
    </row>
    <row r="11">
      <c r="R11" s="201" t="s">
        <v>185</v>
      </c>
      <c r="Y11" s="201" t="s">
        <v>185</v>
      </c>
    </row>
    <row r="12">
      <c r="A12" s="28"/>
      <c r="B12" s="28"/>
      <c r="D12" s="29"/>
      <c r="R12" s="201" t="s">
        <v>186</v>
      </c>
      <c r="Y12" s="201" t="s">
        <v>187</v>
      </c>
    </row>
    <row r="13" ht="86.25" customHeight="1">
      <c r="A13" s="28"/>
      <c r="B13" s="28"/>
      <c r="D13" s="158"/>
      <c r="R13" s="202"/>
      <c r="S13" s="202"/>
      <c r="T13" s="202"/>
      <c r="U13" s="202"/>
      <c r="V13" s="203"/>
      <c r="W13" s="203"/>
      <c r="Y13" s="201" t="s">
        <v>188</v>
      </c>
    </row>
    <row r="14">
      <c r="D14" s="159" t="s">
        <v>90</v>
      </c>
      <c r="E14" s="159" t="s">
        <v>91</v>
      </c>
      <c r="F14" s="159" t="s">
        <v>92</v>
      </c>
      <c r="G14" s="159" t="s">
        <v>162</v>
      </c>
      <c r="J14" s="160"/>
      <c r="K14" s="161"/>
      <c r="R14" s="204"/>
      <c r="S14" s="204"/>
      <c r="T14" s="204"/>
      <c r="U14" s="204"/>
      <c r="V14" s="205"/>
      <c r="W14" s="205"/>
      <c r="Y14" s="206"/>
      <c r="Z14" s="206"/>
      <c r="AA14" s="206"/>
      <c r="AB14" s="206"/>
      <c r="AC14" s="207"/>
      <c r="AD14" s="207"/>
    </row>
    <row r="15">
      <c r="D15" s="151" t="s">
        <v>163</v>
      </c>
      <c r="E15" s="151">
        <v>1.0</v>
      </c>
      <c r="F15" s="162">
        <f t="shared" ref="F15:F19" si="5">I4*1.045</f>
        <v>130625000</v>
      </c>
      <c r="G15" s="208">
        <f t="shared" ref="G15:G19" si="6">E15*F15</f>
        <v>130625000</v>
      </c>
    </row>
    <row r="16">
      <c r="D16" s="155" t="s">
        <v>189</v>
      </c>
      <c r="E16" s="151">
        <v>1.0</v>
      </c>
      <c r="F16" s="162">
        <f t="shared" si="5"/>
        <v>6270000</v>
      </c>
      <c r="G16" s="208">
        <f t="shared" si="6"/>
        <v>6270000</v>
      </c>
    </row>
    <row r="17">
      <c r="D17" s="155" t="s">
        <v>164</v>
      </c>
      <c r="E17" s="151">
        <v>1.0</v>
      </c>
      <c r="F17" s="162">
        <f t="shared" si="5"/>
        <v>8360000</v>
      </c>
      <c r="G17" s="208">
        <f t="shared" si="6"/>
        <v>8360000</v>
      </c>
    </row>
    <row r="18">
      <c r="D18" s="155" t="s">
        <v>159</v>
      </c>
      <c r="E18" s="151">
        <v>1.0</v>
      </c>
      <c r="F18" s="162">
        <f t="shared" si="5"/>
        <v>3135000</v>
      </c>
      <c r="G18" s="208">
        <f t="shared" si="6"/>
        <v>3135000</v>
      </c>
    </row>
    <row r="19">
      <c r="D19" s="155" t="s">
        <v>165</v>
      </c>
      <c r="E19" s="151">
        <v>1.0</v>
      </c>
      <c r="F19" s="162">
        <f t="shared" si="5"/>
        <v>20900000</v>
      </c>
      <c r="G19" s="208">
        <f t="shared" si="6"/>
        <v>20900000</v>
      </c>
      <c r="I19" s="164"/>
    </row>
    <row r="20" ht="35.25" customHeight="1">
      <c r="D20" s="165"/>
      <c r="E20" s="209" t="s">
        <v>161</v>
      </c>
      <c r="F20" s="95" t="s">
        <v>88</v>
      </c>
      <c r="G20" s="210">
        <f>SUM(G15:G19)</f>
        <v>169290000</v>
      </c>
      <c r="K20" s="164"/>
    </row>
    <row r="21">
      <c r="F21" s="168" t="s">
        <v>89</v>
      </c>
      <c r="G21" s="211">
        <f>SUM(G15:G19)*60%</f>
        <v>101574000</v>
      </c>
    </row>
    <row r="22">
      <c r="G22" s="212"/>
    </row>
    <row r="45">
      <c r="AB45" s="213">
        <v>2.0</v>
      </c>
    </row>
  </sheetData>
  <mergeCells count="21">
    <mergeCell ref="D1:K1"/>
    <mergeCell ref="D2:D3"/>
    <mergeCell ref="E2:E3"/>
    <mergeCell ref="F2:F3"/>
    <mergeCell ref="G2:G3"/>
    <mergeCell ref="H2:H3"/>
    <mergeCell ref="I2:I3"/>
    <mergeCell ref="D13:G13"/>
    <mergeCell ref="V7:W7"/>
    <mergeCell ref="R11:W11"/>
    <mergeCell ref="Y11:AD11"/>
    <mergeCell ref="R12:W12"/>
    <mergeCell ref="Y12:AD12"/>
    <mergeCell ref="Y13:AD13"/>
    <mergeCell ref="J2:J3"/>
    <mergeCell ref="K2:K3"/>
    <mergeCell ref="R2:W2"/>
    <mergeCell ref="Y2:AA2"/>
    <mergeCell ref="R3:W3"/>
    <mergeCell ref="Y3:AA3"/>
    <mergeCell ref="AC7:AD7"/>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55.43"/>
    <col customWidth="1" min="4" max="4" width="28.29"/>
    <col customWidth="1" min="5" max="5" width="33.0"/>
    <col customWidth="1" min="7" max="7" width="22.43"/>
    <col customWidth="1" min="8" max="8" width="19.71"/>
    <col customWidth="1" min="9" max="9" width="21.43"/>
    <col customWidth="1" min="10" max="10" width="18.29"/>
    <col customWidth="1" min="13" max="13" width="11.57"/>
    <col customWidth="1" min="16" max="16" width="44.0"/>
    <col customWidth="1" min="17" max="17" width="20.14"/>
    <col customWidth="1" min="18" max="18" width="15.71"/>
    <col customWidth="1" min="19" max="19" width="27.0"/>
    <col customWidth="1" min="20" max="20" width="22.0"/>
    <col customWidth="1" min="21" max="21" width="16.57"/>
  </cols>
  <sheetData>
    <row r="1">
      <c r="B1" s="214" t="s">
        <v>190</v>
      </c>
      <c r="C1" s="24"/>
      <c r="D1" s="24"/>
      <c r="E1" s="24"/>
      <c r="F1" s="24"/>
      <c r="G1" s="24"/>
      <c r="H1" s="24"/>
      <c r="I1" s="24"/>
      <c r="J1" s="25"/>
    </row>
    <row r="2">
      <c r="A2" s="28" t="s">
        <v>131</v>
      </c>
      <c r="B2" s="215" t="s">
        <v>62</v>
      </c>
      <c r="C2" s="215" t="s">
        <v>132</v>
      </c>
      <c r="D2" s="99" t="s">
        <v>63</v>
      </c>
      <c r="E2" s="99" t="s">
        <v>133</v>
      </c>
      <c r="F2" s="159"/>
      <c r="G2" s="99" t="s">
        <v>191</v>
      </c>
      <c r="H2" s="99" t="s">
        <v>192</v>
      </c>
      <c r="I2" s="99" t="s">
        <v>193</v>
      </c>
      <c r="J2" s="99" t="s">
        <v>194</v>
      </c>
      <c r="P2" s="216" t="s">
        <v>62</v>
      </c>
      <c r="Q2" s="216" t="s">
        <v>132</v>
      </c>
      <c r="R2" s="216" t="s">
        <v>63</v>
      </c>
      <c r="S2" s="216" t="s">
        <v>133</v>
      </c>
      <c r="T2" s="216" t="s">
        <v>145</v>
      </c>
      <c r="U2" s="216" t="s">
        <v>146</v>
      </c>
    </row>
    <row r="3">
      <c r="A3" s="100">
        <v>3730.45</v>
      </c>
      <c r="B3" s="101"/>
      <c r="C3" s="101"/>
      <c r="D3" s="101"/>
      <c r="E3" s="101"/>
      <c r="F3" s="159" t="s">
        <v>134</v>
      </c>
      <c r="G3" s="101"/>
      <c r="H3" s="101"/>
      <c r="I3" s="101"/>
      <c r="J3" s="101"/>
      <c r="P3" s="101"/>
      <c r="Q3" s="101"/>
      <c r="R3" s="101"/>
      <c r="S3" s="101"/>
      <c r="T3" s="101"/>
      <c r="U3" s="101"/>
    </row>
    <row r="4">
      <c r="A4" s="102">
        <f>A3*1.1</f>
        <v>4103.495</v>
      </c>
      <c r="B4" s="103" t="s">
        <v>195</v>
      </c>
      <c r="C4" s="78" t="s">
        <v>140</v>
      </c>
      <c r="D4" s="78">
        <v>1.0</v>
      </c>
      <c r="E4" s="78" t="s">
        <v>141</v>
      </c>
      <c r="F4" s="104">
        <v>86.0</v>
      </c>
      <c r="G4" s="105">
        <f>F4*A3</f>
        <v>320818.7</v>
      </c>
      <c r="H4" s="105">
        <f t="shared" ref="H4:H9" si="2">G4*1.19</f>
        <v>381774.253</v>
      </c>
      <c r="I4" s="105">
        <f t="shared" ref="I4:I9" si="3">G4*1.035</f>
        <v>332047.3545</v>
      </c>
      <c r="J4" s="105">
        <f t="shared" ref="J4:J9" si="4">I4*D4</f>
        <v>332047.3545</v>
      </c>
      <c r="P4" s="217" t="str">
        <f t="shared" ref="P4:P15" si="5">B4</f>
        <v>Canaleta x 18 (200CmUnidad)</v>
      </c>
      <c r="Q4" s="218" t="s">
        <v>148</v>
      </c>
      <c r="R4" s="219">
        <v>2.0</v>
      </c>
      <c r="S4" s="219" t="s">
        <v>149</v>
      </c>
      <c r="T4" s="220">
        <f t="shared" ref="T4:U4" si="1">I4</f>
        <v>332047.3545</v>
      </c>
      <c r="U4" s="221">
        <f t="shared" si="1"/>
        <v>332047.3545</v>
      </c>
    </row>
    <row r="5">
      <c r="B5" s="103" t="s">
        <v>196</v>
      </c>
      <c r="C5" s="78" t="s">
        <v>140</v>
      </c>
      <c r="D5" s="78">
        <v>1.0</v>
      </c>
      <c r="E5" s="78" t="s">
        <v>141</v>
      </c>
      <c r="F5" s="104">
        <v>89.0</v>
      </c>
      <c r="G5" s="105">
        <f>F5*A3</f>
        <v>332010.05</v>
      </c>
      <c r="H5" s="105">
        <f t="shared" si="2"/>
        <v>395091.9595</v>
      </c>
      <c r="I5" s="105">
        <f t="shared" si="3"/>
        <v>343630.4018</v>
      </c>
      <c r="J5" s="105">
        <f t="shared" si="4"/>
        <v>343630.4018</v>
      </c>
      <c r="P5" s="217" t="str">
        <f t="shared" si="5"/>
        <v>Cable Utp CaE5(305m)</v>
      </c>
      <c r="Q5" s="218" t="s">
        <v>148</v>
      </c>
      <c r="R5" s="222">
        <f t="shared" ref="R5:R15" si="7">D5</f>
        <v>1</v>
      </c>
      <c r="S5" s="219" t="s">
        <v>149</v>
      </c>
      <c r="T5" s="221">
        <f t="shared" ref="T5:U5" si="6">I5</f>
        <v>343630.4018</v>
      </c>
      <c r="U5" s="221">
        <f t="shared" si="6"/>
        <v>343630.4018</v>
      </c>
    </row>
    <row r="6">
      <c r="B6" s="103" t="s">
        <v>197</v>
      </c>
      <c r="C6" s="223" t="s">
        <v>148</v>
      </c>
      <c r="D6" s="78">
        <v>1.0</v>
      </c>
      <c r="E6" s="78" t="s">
        <v>141</v>
      </c>
      <c r="F6" s="104">
        <v>10.0</v>
      </c>
      <c r="G6" s="105">
        <f>A3*F6</f>
        <v>37304.5</v>
      </c>
      <c r="H6" s="105">
        <f t="shared" si="2"/>
        <v>44392.355</v>
      </c>
      <c r="I6" s="105">
        <f t="shared" si="3"/>
        <v>38610.1575</v>
      </c>
      <c r="J6" s="105">
        <f t="shared" si="4"/>
        <v>38610.1575</v>
      </c>
      <c r="P6" s="217" t="str">
        <f t="shared" si="5"/>
        <v>Plug Rj45 (Paquete X 100)</v>
      </c>
      <c r="Q6" s="218" t="s">
        <v>148</v>
      </c>
      <c r="R6" s="222">
        <f t="shared" si="7"/>
        <v>1</v>
      </c>
      <c r="S6" s="219" t="s">
        <v>149</v>
      </c>
      <c r="T6" s="221">
        <f t="shared" ref="T6:U6" si="8">I6</f>
        <v>38610.1575</v>
      </c>
      <c r="U6" s="221">
        <f t="shared" si="8"/>
        <v>38610.1575</v>
      </c>
    </row>
    <row r="7">
      <c r="B7" s="103" t="s">
        <v>198</v>
      </c>
      <c r="C7" s="78" t="s">
        <v>140</v>
      </c>
      <c r="D7" s="78">
        <v>1.0</v>
      </c>
      <c r="E7" s="78" t="s">
        <v>141</v>
      </c>
      <c r="F7" s="104">
        <v>44.0</v>
      </c>
      <c r="G7" s="105">
        <f>F7*A3</f>
        <v>164139.8</v>
      </c>
      <c r="H7" s="105">
        <f t="shared" si="2"/>
        <v>195326.362</v>
      </c>
      <c r="I7" s="105">
        <f t="shared" si="3"/>
        <v>169884.693</v>
      </c>
      <c r="J7" s="105">
        <f t="shared" si="4"/>
        <v>169884.693</v>
      </c>
      <c r="P7" s="217" t="str">
        <f t="shared" si="5"/>
        <v>Jacks Rj45 (Paquete de 50)</v>
      </c>
      <c r="Q7" s="218" t="s">
        <v>148</v>
      </c>
      <c r="R7" s="222">
        <f t="shared" si="7"/>
        <v>1</v>
      </c>
      <c r="S7" s="219" t="s">
        <v>149</v>
      </c>
      <c r="T7" s="221">
        <f t="shared" ref="T7:U7" si="9">I7</f>
        <v>169884.693</v>
      </c>
      <c r="U7" s="221">
        <f t="shared" si="9"/>
        <v>169884.693</v>
      </c>
    </row>
    <row r="8">
      <c r="B8" s="103" t="s">
        <v>199</v>
      </c>
      <c r="C8" s="78" t="s">
        <v>140</v>
      </c>
      <c r="D8" s="78">
        <v>1.0</v>
      </c>
      <c r="E8" s="78" t="s">
        <v>141</v>
      </c>
      <c r="F8" s="104">
        <v>70.0</v>
      </c>
      <c r="G8" s="105">
        <f>F8*A3</f>
        <v>261131.5</v>
      </c>
      <c r="H8" s="105">
        <f t="shared" si="2"/>
        <v>310746.485</v>
      </c>
      <c r="I8" s="105">
        <f t="shared" si="3"/>
        <v>270271.1025</v>
      </c>
      <c r="J8" s="105">
        <f t="shared" si="4"/>
        <v>270271.1025</v>
      </c>
      <c r="P8" s="217" t="str">
        <f t="shared" si="5"/>
        <v>Pacth core (Paquete de 24)</v>
      </c>
      <c r="Q8" s="218" t="s">
        <v>148</v>
      </c>
      <c r="R8" s="222">
        <f t="shared" si="7"/>
        <v>1</v>
      </c>
      <c r="S8" s="219" t="s">
        <v>149</v>
      </c>
      <c r="T8" s="221">
        <f t="shared" ref="T8:U8" si="10">I8</f>
        <v>270271.1025</v>
      </c>
      <c r="U8" s="221">
        <f t="shared" si="10"/>
        <v>270271.1025</v>
      </c>
    </row>
    <row r="9">
      <c r="B9" s="224" t="s">
        <v>51</v>
      </c>
      <c r="C9" s="112" t="s">
        <v>140</v>
      </c>
      <c r="D9" s="112">
        <v>2.0</v>
      </c>
      <c r="E9" s="112" t="s">
        <v>141</v>
      </c>
      <c r="F9" s="113">
        <v>3.0</v>
      </c>
      <c r="G9" s="114">
        <f>F9*A3</f>
        <v>11191.35</v>
      </c>
      <c r="H9" s="114">
        <f t="shared" si="2"/>
        <v>13317.7065</v>
      </c>
      <c r="I9" s="114">
        <f t="shared" si="3"/>
        <v>11583.04725</v>
      </c>
      <c r="J9" s="114">
        <f t="shared" si="4"/>
        <v>23166.0945</v>
      </c>
      <c r="P9" s="217" t="str">
        <f t="shared" si="5"/>
        <v>Organizador De Cables</v>
      </c>
      <c r="Q9" s="218" t="s">
        <v>148</v>
      </c>
      <c r="R9" s="222">
        <f t="shared" si="7"/>
        <v>2</v>
      </c>
      <c r="S9" s="219" t="s">
        <v>149</v>
      </c>
      <c r="T9" s="221">
        <f t="shared" ref="T9:U9" si="11">I9</f>
        <v>11583.04725</v>
      </c>
      <c r="U9" s="221">
        <f t="shared" si="11"/>
        <v>23166.0945</v>
      </c>
    </row>
    <row r="10">
      <c r="B10" s="116"/>
      <c r="C10" s="117"/>
      <c r="D10" s="117"/>
      <c r="E10" s="117"/>
      <c r="F10" s="118"/>
      <c r="G10" s="119"/>
      <c r="H10" s="94" t="s">
        <v>128</v>
      </c>
      <c r="I10" s="156" t="s">
        <v>88</v>
      </c>
      <c r="J10" s="84">
        <f>SUM(J4:J9)</f>
        <v>1177609.804</v>
      </c>
      <c r="P10" s="217" t="str">
        <f t="shared" si="5"/>
        <v/>
      </c>
      <c r="Q10" s="218" t="s">
        <v>148</v>
      </c>
      <c r="R10" s="222" t="str">
        <f t="shared" si="7"/>
        <v/>
      </c>
      <c r="S10" s="219" t="s">
        <v>149</v>
      </c>
      <c r="T10" s="225" t="str">
        <f t="shared" ref="T10:U10" si="12">I10</f>
        <v>Total</v>
      </c>
      <c r="U10" s="221">
        <f t="shared" si="12"/>
        <v>1177609.804</v>
      </c>
    </row>
    <row r="11">
      <c r="B11" s="140"/>
      <c r="C11" s="131"/>
      <c r="D11" s="131"/>
      <c r="E11" s="131"/>
      <c r="F11" s="121"/>
      <c r="G11" s="122"/>
      <c r="H11" s="123"/>
      <c r="I11" s="123"/>
      <c r="J11" s="123"/>
      <c r="P11" s="217" t="str">
        <f t="shared" si="5"/>
        <v/>
      </c>
      <c r="Q11" s="218" t="s">
        <v>148</v>
      </c>
      <c r="R11" s="222" t="str">
        <f t="shared" si="7"/>
        <v/>
      </c>
      <c r="S11" s="219" t="s">
        <v>149</v>
      </c>
      <c r="T11" s="225" t="str">
        <f t="shared" ref="T11:U11" si="13">I11</f>
        <v/>
      </c>
      <c r="U11" s="225" t="str">
        <f t="shared" si="13"/>
        <v/>
      </c>
    </row>
    <row r="12" ht="34.5" customHeight="1">
      <c r="B12" s="140"/>
      <c r="F12" s="126"/>
      <c r="G12" s="122"/>
      <c r="H12" s="123"/>
      <c r="I12" s="226" t="s">
        <v>89</v>
      </c>
      <c r="J12" s="227">
        <f>J5+J6+J7+J8+J9+J10*60%</f>
        <v>1552128.332</v>
      </c>
      <c r="P12" s="228" t="str">
        <f t="shared" si="5"/>
        <v/>
      </c>
      <c r="Q12" s="218" t="s">
        <v>148</v>
      </c>
      <c r="R12" s="222" t="str">
        <f t="shared" si="7"/>
        <v/>
      </c>
      <c r="S12" s="219" t="s">
        <v>149</v>
      </c>
      <c r="T12" s="225" t="str">
        <f t="shared" ref="T12:U12" si="14">I12</f>
        <v>TOTAL</v>
      </c>
      <c r="U12" s="221">
        <f t="shared" si="14"/>
        <v>1552128.332</v>
      </c>
    </row>
    <row r="13">
      <c r="B13" s="159" t="s">
        <v>90</v>
      </c>
      <c r="C13" s="159" t="s">
        <v>91</v>
      </c>
      <c r="D13" s="159" t="s">
        <v>92</v>
      </c>
      <c r="E13" s="159" t="s">
        <v>93</v>
      </c>
      <c r="F13" s="126"/>
      <c r="G13" s="122"/>
      <c r="H13" s="123"/>
      <c r="I13" s="123"/>
      <c r="J13" s="123"/>
      <c r="P13" s="217" t="str">
        <f t="shared" si="5"/>
        <v>DESCRIPCIÒN TÈCNICA </v>
      </c>
      <c r="Q13" s="218" t="s">
        <v>148</v>
      </c>
      <c r="R13" s="222" t="str">
        <f t="shared" si="7"/>
        <v>PRECIO UNITARIO</v>
      </c>
      <c r="S13" s="219" t="s">
        <v>149</v>
      </c>
      <c r="T13" s="225" t="str">
        <f t="shared" ref="T13:U13" si="15">I13</f>
        <v/>
      </c>
      <c r="U13" s="225" t="str">
        <f t="shared" si="15"/>
        <v/>
      </c>
    </row>
    <row r="14">
      <c r="B14" s="229" t="s">
        <v>195</v>
      </c>
      <c r="C14" s="229">
        <v>1.0</v>
      </c>
      <c r="D14" s="90">
        <f t="shared" ref="D14:D19" si="17">G4*1.035</f>
        <v>332047.3545</v>
      </c>
      <c r="E14" s="230">
        <f t="shared" ref="E14:E19" si="18">D14*C14</f>
        <v>332047.3545</v>
      </c>
      <c r="F14" s="126"/>
      <c r="G14" s="122"/>
      <c r="H14" s="123"/>
      <c r="I14" s="123"/>
      <c r="J14" s="123"/>
      <c r="P14" s="217" t="str">
        <f t="shared" si="5"/>
        <v>Canaleta x 18 (200CmUnidad)</v>
      </c>
      <c r="Q14" s="218" t="s">
        <v>148</v>
      </c>
      <c r="R14" s="231">
        <f t="shared" si="7"/>
        <v>332047.3545</v>
      </c>
      <c r="S14" s="219" t="s">
        <v>149</v>
      </c>
      <c r="T14" s="225" t="str">
        <f t="shared" ref="T14:U14" si="16">I14</f>
        <v/>
      </c>
      <c r="U14" s="225" t="str">
        <f t="shared" si="16"/>
        <v/>
      </c>
    </row>
    <row r="15">
      <c r="B15" s="229" t="s">
        <v>196</v>
      </c>
      <c r="C15" s="229">
        <v>1.0</v>
      </c>
      <c r="D15" s="90">
        <f t="shared" si="17"/>
        <v>343630.4018</v>
      </c>
      <c r="E15" s="230">
        <f t="shared" si="18"/>
        <v>343630.4018</v>
      </c>
      <c r="F15" s="126"/>
      <c r="G15" s="122"/>
      <c r="H15" s="123"/>
      <c r="I15" s="123"/>
      <c r="J15" s="123"/>
      <c r="P15" s="217" t="str">
        <f t="shared" si="5"/>
        <v>Cable Utp CaE5(305m)</v>
      </c>
      <c r="Q15" s="218" t="s">
        <v>148</v>
      </c>
      <c r="R15" s="231">
        <f t="shared" si="7"/>
        <v>343630.4018</v>
      </c>
      <c r="S15" s="219" t="s">
        <v>149</v>
      </c>
      <c r="T15" s="225" t="str">
        <f t="shared" ref="T15:U15" si="19">I15</f>
        <v/>
      </c>
      <c r="U15" s="225" t="str">
        <f t="shared" si="19"/>
        <v/>
      </c>
    </row>
    <row r="16">
      <c r="B16" s="229" t="s">
        <v>197</v>
      </c>
      <c r="C16" s="229">
        <v>1.0</v>
      </c>
      <c r="D16" s="90">
        <f t="shared" si="17"/>
        <v>38610.1575</v>
      </c>
      <c r="E16" s="230">
        <f t="shared" si="18"/>
        <v>38610.1575</v>
      </c>
      <c r="F16" s="126"/>
      <c r="G16" s="122"/>
      <c r="H16" s="123"/>
      <c r="I16" s="123"/>
      <c r="J16" s="123"/>
      <c r="P16" s="217" t="str">
        <f t="shared" ref="P16:P17" si="21">B18</f>
        <v>Pacth core (Paquete de 24)</v>
      </c>
      <c r="Q16" s="218" t="s">
        <v>148</v>
      </c>
      <c r="R16" s="219">
        <v>1.0</v>
      </c>
      <c r="S16" s="219" t="s">
        <v>149</v>
      </c>
      <c r="T16" s="225" t="str">
        <f t="shared" ref="T16:U16" si="20">I18</f>
        <v/>
      </c>
      <c r="U16" s="225" t="str">
        <f t="shared" si="20"/>
        <v/>
      </c>
    </row>
    <row r="17">
      <c r="B17" s="229" t="s">
        <v>198</v>
      </c>
      <c r="C17" s="229">
        <v>1.0</v>
      </c>
      <c r="D17" s="90">
        <f t="shared" si="17"/>
        <v>169884.693</v>
      </c>
      <c r="E17" s="230">
        <f t="shared" si="18"/>
        <v>169884.693</v>
      </c>
      <c r="F17" s="126"/>
      <c r="G17" s="232"/>
      <c r="H17" s="232"/>
      <c r="I17" s="123"/>
      <c r="J17" s="123"/>
      <c r="P17" s="217" t="str">
        <f t="shared" si="21"/>
        <v>Organizador De Cables</v>
      </c>
      <c r="Q17" s="218" t="s">
        <v>148</v>
      </c>
      <c r="R17" s="222" t="str">
        <f>D21</f>
        <v>TOTAL</v>
      </c>
      <c r="S17" s="219" t="s">
        <v>149</v>
      </c>
      <c r="T17" s="225" t="str">
        <f t="shared" ref="T17:U17" si="22">I21</f>
        <v/>
      </c>
      <c r="U17" s="225" t="str">
        <f t="shared" si="22"/>
        <v/>
      </c>
    </row>
    <row r="18">
      <c r="B18" s="233" t="s">
        <v>199</v>
      </c>
      <c r="C18" s="229">
        <v>1.0</v>
      </c>
      <c r="D18" s="90">
        <f t="shared" si="17"/>
        <v>270271.1025</v>
      </c>
      <c r="E18" s="230">
        <f t="shared" si="18"/>
        <v>270271.1025</v>
      </c>
      <c r="F18" s="126"/>
      <c r="G18" s="122"/>
      <c r="H18" s="122"/>
      <c r="I18" s="123"/>
      <c r="J18" s="123"/>
      <c r="P18" s="225" t="str">
        <f t="shared" ref="P18:P23" si="24">B18</f>
        <v>Pacth core (Paquete de 24)</v>
      </c>
      <c r="Q18" s="218" t="s">
        <v>148</v>
      </c>
      <c r="R18" s="20">
        <v>1.0</v>
      </c>
      <c r="S18" s="219" t="s">
        <v>149</v>
      </c>
      <c r="T18" s="225" t="str">
        <f t="shared" ref="T18:U18" si="23">I22</f>
        <v/>
      </c>
      <c r="U18" s="225" t="str">
        <f t="shared" si="23"/>
        <v/>
      </c>
    </row>
    <row r="19">
      <c r="B19" s="234" t="s">
        <v>51</v>
      </c>
      <c r="C19" s="229">
        <v>2.0</v>
      </c>
      <c r="D19" s="90">
        <f t="shared" si="17"/>
        <v>11583.04725</v>
      </c>
      <c r="E19" s="230">
        <f t="shared" si="18"/>
        <v>23166.0945</v>
      </c>
      <c r="F19" s="126"/>
      <c r="G19" s="122"/>
      <c r="H19" s="122"/>
      <c r="I19" s="123"/>
      <c r="J19" s="123"/>
      <c r="P19" s="225" t="str">
        <f t="shared" si="24"/>
        <v>Organizador De Cables</v>
      </c>
      <c r="Q19" s="218" t="s">
        <v>148</v>
      </c>
      <c r="R19" s="231">
        <f t="shared" ref="R19:R23" si="26">D19</f>
        <v>11583.04725</v>
      </c>
      <c r="S19" s="219" t="s">
        <v>149</v>
      </c>
      <c r="T19" s="225" t="str">
        <f t="shared" ref="T19:U19" si="25">I19</f>
        <v/>
      </c>
      <c r="U19" s="225" t="str">
        <f t="shared" si="25"/>
        <v/>
      </c>
    </row>
    <row r="20">
      <c r="B20" s="140"/>
      <c r="C20" s="94" t="s">
        <v>128</v>
      </c>
      <c r="D20" s="156" t="s">
        <v>88</v>
      </c>
      <c r="E20" s="84">
        <f>SUM(E14:E19)</f>
        <v>1177609.804</v>
      </c>
      <c r="F20" s="126"/>
      <c r="G20" s="122"/>
      <c r="H20" s="122"/>
      <c r="I20" s="123"/>
      <c r="J20" s="123"/>
      <c r="P20" s="225" t="str">
        <f t="shared" si="24"/>
        <v/>
      </c>
      <c r="Q20" s="218" t="s">
        <v>148</v>
      </c>
      <c r="R20" s="222" t="str">
        <f t="shared" si="26"/>
        <v>Total</v>
      </c>
      <c r="S20" s="219" t="s">
        <v>149</v>
      </c>
      <c r="T20" s="225" t="str">
        <f t="shared" ref="T20:U20" si="27">I20</f>
        <v/>
      </c>
      <c r="U20" s="225" t="str">
        <f t="shared" si="27"/>
        <v/>
      </c>
    </row>
    <row r="21">
      <c r="B21" s="140"/>
      <c r="C21" s="131"/>
      <c r="D21" s="226" t="s">
        <v>89</v>
      </c>
      <c r="E21" s="227">
        <f>SUM(E14:E19)*60%</f>
        <v>706565.8823</v>
      </c>
      <c r="F21" s="126"/>
      <c r="G21" s="122"/>
      <c r="H21" s="122"/>
      <c r="I21" s="123"/>
      <c r="J21" s="123"/>
      <c r="P21" s="225" t="str">
        <f t="shared" si="24"/>
        <v/>
      </c>
      <c r="Q21" s="218" t="s">
        <v>148</v>
      </c>
      <c r="R21" s="222" t="str">
        <f t="shared" si="26"/>
        <v>TOTAL</v>
      </c>
      <c r="S21" s="219" t="s">
        <v>149</v>
      </c>
      <c r="T21" s="225" t="str">
        <f t="shared" ref="T21:U21" si="28">I21</f>
        <v/>
      </c>
      <c r="U21" s="225" t="str">
        <f t="shared" si="28"/>
        <v/>
      </c>
    </row>
    <row r="22">
      <c r="B22" s="140"/>
      <c r="C22" s="131"/>
      <c r="D22" s="131"/>
      <c r="E22" s="131"/>
      <c r="F22" s="126"/>
      <c r="G22" s="122"/>
      <c r="H22" s="122"/>
      <c r="I22" s="123"/>
      <c r="J22" s="123"/>
      <c r="P22" s="225" t="str">
        <f t="shared" si="24"/>
        <v/>
      </c>
      <c r="Q22" s="218" t="s">
        <v>148</v>
      </c>
      <c r="R22" s="222" t="str">
        <f t="shared" si="26"/>
        <v/>
      </c>
      <c r="S22" s="219" t="s">
        <v>149</v>
      </c>
      <c r="T22" s="225" t="str">
        <f t="shared" ref="T22:U22" si="29">I22</f>
        <v/>
      </c>
      <c r="U22" s="225" t="str">
        <f t="shared" si="29"/>
        <v/>
      </c>
    </row>
    <row r="23">
      <c r="B23" s="235"/>
      <c r="C23" s="131"/>
      <c r="D23" s="131"/>
      <c r="E23" s="131"/>
      <c r="F23" s="126"/>
      <c r="G23" s="122"/>
      <c r="H23" s="122"/>
      <c r="I23" s="123"/>
      <c r="J23" s="123"/>
      <c r="P23" s="236" t="str">
        <f t="shared" si="24"/>
        <v/>
      </c>
      <c r="Q23" s="218" t="s">
        <v>148</v>
      </c>
      <c r="R23" s="222" t="str">
        <f t="shared" si="26"/>
        <v/>
      </c>
      <c r="S23" s="219" t="s">
        <v>149</v>
      </c>
      <c r="T23" s="225" t="str">
        <f t="shared" ref="T23:U23" si="30">I23</f>
        <v/>
      </c>
      <c r="U23" s="225" t="str">
        <f t="shared" si="30"/>
        <v/>
      </c>
    </row>
    <row r="24">
      <c r="B24" s="235"/>
      <c r="C24" s="131"/>
      <c r="D24" s="131"/>
      <c r="E24" s="131"/>
      <c r="F24" s="126"/>
      <c r="G24" s="122"/>
      <c r="H24" s="122"/>
      <c r="I24" s="123"/>
      <c r="J24" s="123"/>
      <c r="P24" s="236"/>
      <c r="Q24" s="237"/>
      <c r="R24" s="238"/>
      <c r="S24" s="238"/>
      <c r="T24" s="237" t="s">
        <v>88</v>
      </c>
      <c r="U24" s="239">
        <f>SUM(U4:U23)</f>
        <v>3907347.939</v>
      </c>
    </row>
    <row r="25">
      <c r="P25" s="240"/>
      <c r="Q25" s="241"/>
      <c r="R25" s="242"/>
      <c r="S25" s="243"/>
      <c r="T25" s="244"/>
      <c r="U25" s="244"/>
    </row>
    <row r="26">
      <c r="B26" s="140"/>
      <c r="C26" s="245"/>
      <c r="D26" s="131"/>
      <c r="E26" s="131"/>
      <c r="F26" s="126"/>
      <c r="G26" s="122"/>
      <c r="H26" s="122"/>
      <c r="I26" s="123"/>
      <c r="J26" s="123"/>
      <c r="P26" s="44"/>
      <c r="Q26" s="142"/>
      <c r="R26" s="246"/>
      <c r="S26" s="247"/>
      <c r="T26" s="44"/>
      <c r="U26" s="44"/>
    </row>
    <row r="27">
      <c r="B27" s="140"/>
      <c r="C27" s="131"/>
      <c r="D27" s="131"/>
      <c r="E27" s="131"/>
      <c r="F27" s="126"/>
      <c r="G27" s="122"/>
      <c r="H27" s="122"/>
      <c r="I27" s="123"/>
      <c r="J27" s="123"/>
      <c r="P27" s="141"/>
      <c r="Q27" s="142"/>
      <c r="R27" s="246"/>
      <c r="S27" s="247"/>
      <c r="T27" s="44"/>
      <c r="U27" s="44"/>
    </row>
    <row r="28">
      <c r="B28" s="140"/>
      <c r="C28" s="131"/>
      <c r="D28" s="131"/>
      <c r="E28" s="131"/>
      <c r="F28" s="126"/>
      <c r="G28" s="122"/>
      <c r="H28" s="122"/>
      <c r="I28" s="123"/>
      <c r="J28" s="123"/>
      <c r="P28" s="141"/>
      <c r="Q28" s="142"/>
      <c r="R28" s="246"/>
      <c r="S28" s="247"/>
      <c r="T28" s="44"/>
      <c r="U28" s="44"/>
    </row>
    <row r="29">
      <c r="B29" s="140"/>
      <c r="C29" s="131"/>
      <c r="D29" s="248"/>
      <c r="E29" s="131"/>
      <c r="F29" s="126"/>
      <c r="G29" s="122"/>
      <c r="H29" s="122"/>
      <c r="I29" s="123"/>
      <c r="J29" s="123"/>
      <c r="P29" s="141"/>
      <c r="Q29" s="142"/>
      <c r="R29" s="246"/>
      <c r="S29" s="247"/>
      <c r="T29" s="44"/>
      <c r="U29" s="44"/>
    </row>
    <row r="30">
      <c r="B30" s="248"/>
      <c r="C30" s="131"/>
      <c r="D30" s="249"/>
      <c r="E30" s="131"/>
      <c r="F30" s="250"/>
      <c r="G30" s="122"/>
      <c r="H30" s="122"/>
      <c r="I30" s="123"/>
      <c r="J30" s="123"/>
      <c r="P30" s="141"/>
      <c r="Q30" s="142"/>
      <c r="R30" s="246"/>
      <c r="S30" s="247"/>
      <c r="T30" s="44"/>
      <c r="U30" s="44"/>
    </row>
    <row r="31">
      <c r="B31" s="248"/>
      <c r="C31" s="131"/>
      <c r="D31" s="249"/>
      <c r="E31" s="131"/>
      <c r="F31" s="250"/>
      <c r="G31" s="122"/>
      <c r="H31" s="122"/>
      <c r="I31" s="123"/>
      <c r="J31" s="123"/>
      <c r="P31" s="141"/>
      <c r="Q31" s="142"/>
      <c r="R31" s="246"/>
      <c r="S31" s="247"/>
      <c r="T31" s="44"/>
      <c r="U31" s="44"/>
    </row>
    <row r="32">
      <c r="B32" s="248"/>
      <c r="C32" s="245"/>
      <c r="D32" s="249"/>
      <c r="E32" s="131"/>
      <c r="F32" s="250"/>
      <c r="G32" s="122"/>
      <c r="H32" s="122"/>
      <c r="I32" s="123"/>
      <c r="J32" s="123"/>
      <c r="P32" s="141"/>
      <c r="Q32" s="142"/>
      <c r="R32" s="246"/>
      <c r="S32" s="247"/>
      <c r="T32" s="44"/>
      <c r="U32" s="44"/>
    </row>
    <row r="33">
      <c r="B33" s="248"/>
      <c r="C33" s="131"/>
      <c r="D33" s="249"/>
      <c r="E33" s="131"/>
      <c r="F33" s="250"/>
      <c r="G33" s="122"/>
      <c r="H33" s="122"/>
      <c r="I33" s="123"/>
      <c r="J33" s="123"/>
      <c r="P33" s="141"/>
      <c r="Q33" s="142"/>
      <c r="T33" s="142"/>
      <c r="U33" s="147"/>
    </row>
    <row r="34">
      <c r="B34" s="251"/>
      <c r="C34" s="131"/>
      <c r="D34" s="250"/>
      <c r="E34" s="131"/>
      <c r="F34" s="250"/>
      <c r="G34" s="122"/>
      <c r="H34" s="122"/>
      <c r="I34" s="123"/>
      <c r="J34" s="123"/>
      <c r="P34" s="252" t="str">
        <f>B35</f>
        <v/>
      </c>
      <c r="Q34" s="146"/>
      <c r="R34" s="7"/>
      <c r="S34" s="7"/>
      <c r="T34" s="146"/>
      <c r="U34" s="147"/>
    </row>
  </sheetData>
  <mergeCells count="16">
    <mergeCell ref="I2:I3"/>
    <mergeCell ref="J2:J3"/>
    <mergeCell ref="P2:P3"/>
    <mergeCell ref="Q2:Q3"/>
    <mergeCell ref="R2:R3"/>
    <mergeCell ref="S2:S3"/>
    <mergeCell ref="T2:T3"/>
    <mergeCell ref="U2:U3"/>
    <mergeCell ref="B1:J1"/>
    <mergeCell ref="B2:B3"/>
    <mergeCell ref="C2:C3"/>
    <mergeCell ref="D2:D3"/>
    <mergeCell ref="E2:E3"/>
    <mergeCell ref="G2:G3"/>
    <mergeCell ref="H2:H3"/>
    <mergeCell ref="B12:E12"/>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14"/>
    <col customWidth="1" min="2" max="2" width="54.43"/>
    <col customWidth="1" min="3" max="3" width="18.14"/>
    <col customWidth="1" min="4" max="4" width="12.14"/>
    <col customWidth="1" min="5" max="5" width="14.57"/>
    <col customWidth="1" min="6" max="6" width="11.14"/>
    <col customWidth="1" min="7" max="7" width="10.0"/>
    <col customWidth="1" min="8" max="8" width="14.0"/>
    <col customWidth="1" min="9" max="9" width="15.71"/>
    <col customWidth="1" min="10" max="10" width="17.57"/>
    <col customWidth="1" min="13" max="13" width="25.14"/>
  </cols>
  <sheetData>
    <row r="2">
      <c r="B2" s="253"/>
      <c r="J2" s="28" t="s">
        <v>59</v>
      </c>
      <c r="K2" s="254">
        <v>3739.03</v>
      </c>
    </row>
    <row r="3">
      <c r="A3" s="28" t="s">
        <v>131</v>
      </c>
      <c r="B3" s="255"/>
      <c r="C3" s="255"/>
      <c r="D3" s="255"/>
      <c r="E3" s="255"/>
      <c r="F3" s="255"/>
      <c r="G3" s="255"/>
      <c r="J3" s="28" t="s">
        <v>60</v>
      </c>
      <c r="K3" s="254">
        <v>3739.03</v>
      </c>
    </row>
    <row r="4">
      <c r="A4" s="100">
        <v>3730.45</v>
      </c>
    </row>
    <row r="5">
      <c r="A5" s="102">
        <f>A4*1.1</f>
        <v>4103.495</v>
      </c>
      <c r="B5" s="256"/>
      <c r="C5" s="256"/>
      <c r="D5" s="256"/>
      <c r="E5" s="200"/>
      <c r="F5" s="200"/>
      <c r="G5" s="200"/>
    </row>
    <row r="6" ht="97.5" customHeight="1">
      <c r="B6" s="256"/>
      <c r="C6" s="256"/>
      <c r="D6" s="256"/>
      <c r="E6" s="200"/>
      <c r="F6" s="200"/>
      <c r="G6" s="200"/>
    </row>
    <row r="7">
      <c r="B7" s="160"/>
      <c r="C7" s="257"/>
      <c r="D7" s="257"/>
      <c r="E7" s="200"/>
      <c r="F7" s="200"/>
      <c r="G7" s="200"/>
    </row>
    <row r="8">
      <c r="B8" s="160"/>
      <c r="C8" s="257"/>
      <c r="D8" s="257"/>
      <c r="E8" s="258"/>
      <c r="F8" s="200"/>
      <c r="G8" s="200"/>
    </row>
    <row r="9">
      <c r="B9" s="160"/>
      <c r="C9" s="257"/>
      <c r="D9" s="257"/>
      <c r="E9" s="258"/>
      <c r="F9" s="200"/>
      <c r="G9" s="200"/>
    </row>
    <row r="10">
      <c r="B10" s="160"/>
      <c r="C10" s="257"/>
      <c r="D10" s="257"/>
      <c r="E10" s="258"/>
      <c r="F10" s="200"/>
      <c r="G10" s="200"/>
    </row>
    <row r="11">
      <c r="B11" s="160"/>
      <c r="C11" s="259"/>
      <c r="D11" s="257"/>
      <c r="E11" s="260"/>
      <c r="F11" s="200"/>
      <c r="G11" s="200"/>
    </row>
    <row r="12">
      <c r="B12" s="160"/>
      <c r="C12" s="257"/>
      <c r="D12" s="257"/>
      <c r="E12" s="258"/>
      <c r="F12" s="200"/>
      <c r="G12" s="200"/>
    </row>
    <row r="13">
      <c r="B13" s="160"/>
      <c r="C13" s="257"/>
      <c r="D13" s="257"/>
      <c r="E13" s="258"/>
      <c r="F13" s="200"/>
      <c r="G13" s="200"/>
    </row>
    <row r="14">
      <c r="B14" s="160"/>
      <c r="C14" s="257"/>
      <c r="D14" s="257"/>
      <c r="E14" s="258"/>
      <c r="F14" s="2"/>
      <c r="G14" s="261"/>
    </row>
    <row r="15">
      <c r="G15" s="262"/>
    </row>
    <row r="16">
      <c r="G16" s="262"/>
    </row>
    <row r="17">
      <c r="B17" s="263" t="s">
        <v>169</v>
      </c>
      <c r="C17" s="24"/>
      <c r="D17" s="24"/>
      <c r="E17" s="24"/>
      <c r="F17" s="25"/>
    </row>
    <row r="18">
      <c r="B18" s="264" t="s">
        <v>200</v>
      </c>
      <c r="C18" s="264" t="s">
        <v>201</v>
      </c>
      <c r="D18" s="264" t="s">
        <v>172</v>
      </c>
      <c r="E18" s="264" t="s">
        <v>202</v>
      </c>
      <c r="F18" s="264" t="s">
        <v>203</v>
      </c>
    </row>
    <row r="19">
      <c r="B19" s="265" t="s">
        <v>204</v>
      </c>
      <c r="C19" s="266"/>
      <c r="D19" s="266"/>
      <c r="E19" s="266"/>
      <c r="F19" s="267" t="s">
        <v>205</v>
      </c>
    </row>
    <row r="20">
      <c r="B20" s="266"/>
      <c r="C20" s="267" t="s">
        <v>206</v>
      </c>
      <c r="D20" s="267" t="s">
        <v>207</v>
      </c>
      <c r="E20" s="267" t="s">
        <v>208</v>
      </c>
      <c r="F20" s="266"/>
    </row>
    <row r="21">
      <c r="B21" s="266"/>
      <c r="C21" s="267" t="s">
        <v>209</v>
      </c>
      <c r="D21" s="267" t="s">
        <v>207</v>
      </c>
      <c r="E21" s="268">
        <v>1.0</v>
      </c>
      <c r="F21" s="266"/>
    </row>
    <row r="22">
      <c r="B22" s="266"/>
      <c r="C22" s="267" t="s">
        <v>210</v>
      </c>
      <c r="D22" s="267" t="s">
        <v>207</v>
      </c>
      <c r="E22" s="268">
        <v>200.0</v>
      </c>
      <c r="F22" s="266"/>
    </row>
    <row r="23">
      <c r="B23" s="266"/>
      <c r="C23" s="267" t="s">
        <v>211</v>
      </c>
      <c r="D23" s="267" t="s">
        <v>207</v>
      </c>
      <c r="E23" s="268">
        <v>0.0</v>
      </c>
      <c r="F23" s="266"/>
    </row>
    <row r="24">
      <c r="B24" s="266"/>
      <c r="C24" s="267" t="s">
        <v>212</v>
      </c>
      <c r="D24" s="267" t="s">
        <v>207</v>
      </c>
      <c r="E24" s="267" t="s">
        <v>213</v>
      </c>
      <c r="F24" s="266"/>
    </row>
    <row r="25">
      <c r="B25" s="266"/>
      <c r="C25" s="267" t="s">
        <v>214</v>
      </c>
      <c r="D25" s="267" t="s">
        <v>207</v>
      </c>
      <c r="E25" s="268">
        <v>2.0</v>
      </c>
      <c r="F25" s="266"/>
    </row>
    <row r="26">
      <c r="B26" s="265" t="s">
        <v>215</v>
      </c>
      <c r="C26" s="266"/>
      <c r="D26" s="266"/>
      <c r="E26" s="266"/>
      <c r="F26" s="268">
        <v>0.0</v>
      </c>
    </row>
    <row r="27">
      <c r="B27" s="266"/>
      <c r="C27" s="267" t="s">
        <v>216</v>
      </c>
      <c r="D27" s="267" t="s">
        <v>217</v>
      </c>
      <c r="E27" s="268">
        <v>0.0</v>
      </c>
      <c r="F27" s="266"/>
      <c r="J27" s="269" t="s">
        <v>218</v>
      </c>
      <c r="K27" s="270" t="s">
        <v>219</v>
      </c>
      <c r="L27" s="271">
        <v>0.085</v>
      </c>
    </row>
    <row r="28">
      <c r="B28" s="265" t="s">
        <v>220</v>
      </c>
      <c r="C28" s="266"/>
      <c r="D28" s="266"/>
      <c r="E28" s="266"/>
      <c r="F28" s="267" t="s">
        <v>221</v>
      </c>
      <c r="J28" s="60"/>
      <c r="K28" s="272" t="s">
        <v>222</v>
      </c>
      <c r="L28" s="273">
        <v>720.0</v>
      </c>
    </row>
    <row r="29">
      <c r="B29" s="266"/>
      <c r="C29" s="267" t="s">
        <v>216</v>
      </c>
      <c r="D29" s="267" t="s">
        <v>217</v>
      </c>
      <c r="E29" s="267" t="s">
        <v>221</v>
      </c>
      <c r="F29" s="266"/>
      <c r="J29" s="60"/>
      <c r="K29" s="272" t="s">
        <v>223</v>
      </c>
      <c r="L29" s="273">
        <f>L28*L27</f>
        <v>61.2</v>
      </c>
    </row>
    <row r="30">
      <c r="B30" s="265" t="s">
        <v>224</v>
      </c>
      <c r="C30" s="266"/>
      <c r="D30" s="266"/>
      <c r="E30" s="266"/>
      <c r="F30" s="267" t="s">
        <v>225</v>
      </c>
      <c r="J30" s="60"/>
      <c r="K30" s="272" t="s">
        <v>226</v>
      </c>
      <c r="L30" s="273" t="str">
        <f>I32</f>
        <v/>
      </c>
    </row>
    <row r="31">
      <c r="B31" s="266"/>
      <c r="C31" s="267" t="s">
        <v>227</v>
      </c>
      <c r="D31" s="266"/>
      <c r="E31" s="267" t="s">
        <v>225</v>
      </c>
      <c r="F31" s="266"/>
      <c r="J31" s="60"/>
      <c r="K31" s="272"/>
      <c r="L31" s="273">
        <f>L30+L29</f>
        <v>61.2</v>
      </c>
    </row>
    <row r="32">
      <c r="B32" s="266"/>
      <c r="C32" s="266"/>
      <c r="D32" s="267" t="s">
        <v>228</v>
      </c>
      <c r="E32" s="266"/>
      <c r="F32" s="267" t="s">
        <v>229</v>
      </c>
    </row>
    <row r="33">
      <c r="B33" s="266"/>
      <c r="C33" s="266"/>
      <c r="D33" s="264" t="s">
        <v>230</v>
      </c>
      <c r="E33" s="274"/>
      <c r="F33" s="264" t="s">
        <v>231</v>
      </c>
    </row>
    <row r="36" ht="49.5" customHeight="1"/>
    <row r="48">
      <c r="B48" s="275" t="s">
        <v>232</v>
      </c>
      <c r="C48" s="24"/>
      <c r="D48" s="24"/>
      <c r="E48" s="24"/>
      <c r="F48" s="24"/>
      <c r="G48" s="24"/>
      <c r="H48" s="24"/>
      <c r="I48" s="24"/>
      <c r="J48" s="25"/>
    </row>
    <row r="49">
      <c r="B49" s="276" t="s">
        <v>62</v>
      </c>
      <c r="C49" s="276" t="s">
        <v>132</v>
      </c>
      <c r="D49" s="276" t="s">
        <v>63</v>
      </c>
      <c r="E49" s="276" t="s">
        <v>233</v>
      </c>
      <c r="F49" s="276" t="s">
        <v>134</v>
      </c>
      <c r="G49" s="276" t="s">
        <v>135</v>
      </c>
      <c r="H49" s="276" t="s">
        <v>136</v>
      </c>
      <c r="I49" s="276" t="s">
        <v>137</v>
      </c>
      <c r="J49" s="276" t="s">
        <v>138</v>
      </c>
    </row>
    <row r="50" ht="21.75" customHeight="1">
      <c r="B50" s="101"/>
      <c r="C50" s="101"/>
      <c r="D50" s="101"/>
      <c r="E50" s="101"/>
      <c r="F50" s="101"/>
      <c r="G50" s="101"/>
      <c r="H50" s="101"/>
      <c r="I50" s="101"/>
      <c r="J50" s="101"/>
    </row>
    <row r="51">
      <c r="B51" s="277" t="s">
        <v>234</v>
      </c>
      <c r="C51" s="278" t="s">
        <v>140</v>
      </c>
      <c r="D51" s="278">
        <v>1.0</v>
      </c>
      <c r="E51" s="278" t="s">
        <v>149</v>
      </c>
      <c r="F51" s="279">
        <v>259.723</v>
      </c>
      <c r="G51" s="280">
        <f>F51*A4</f>
        <v>968883.6654</v>
      </c>
      <c r="H51" s="281">
        <f t="shared" ref="H51:H55" si="1">G51*1.19</f>
        <v>1152971.562</v>
      </c>
      <c r="I51" s="282">
        <f t="shared" ref="I51:I55" si="2">G51*1.035</f>
        <v>1002794.594</v>
      </c>
      <c r="J51" s="282">
        <f t="shared" ref="J51:J52" si="3">I51*D51</f>
        <v>1002794.594</v>
      </c>
    </row>
    <row r="52">
      <c r="B52" s="277" t="s">
        <v>235</v>
      </c>
      <c r="C52" s="278" t="s">
        <v>140</v>
      </c>
      <c r="D52" s="278">
        <v>1.0</v>
      </c>
      <c r="E52" s="278" t="s">
        <v>149</v>
      </c>
      <c r="F52" s="279">
        <v>226.287</v>
      </c>
      <c r="G52" s="283">
        <f>F52*A4</f>
        <v>844152.3392</v>
      </c>
      <c r="H52" s="281">
        <f t="shared" si="1"/>
        <v>1004541.284</v>
      </c>
      <c r="I52" s="284">
        <f t="shared" si="2"/>
        <v>873697.671</v>
      </c>
      <c r="J52" s="282">
        <f t="shared" si="3"/>
        <v>873697.671</v>
      </c>
    </row>
    <row r="53">
      <c r="B53" s="277" t="s">
        <v>236</v>
      </c>
      <c r="C53" s="278">
        <v>1.0</v>
      </c>
      <c r="D53" s="285">
        <v>1.0</v>
      </c>
      <c r="E53" s="278" t="s">
        <v>149</v>
      </c>
      <c r="F53" s="279">
        <v>135.006</v>
      </c>
      <c r="G53" s="283">
        <f>F53*A4</f>
        <v>503633.1327</v>
      </c>
      <c r="H53" s="281">
        <f t="shared" si="1"/>
        <v>599323.4279</v>
      </c>
      <c r="I53" s="284">
        <f t="shared" si="2"/>
        <v>521260.2923</v>
      </c>
      <c r="J53" s="282">
        <f>I53*C53</f>
        <v>521260.2923</v>
      </c>
    </row>
    <row r="54">
      <c r="B54" s="277" t="s">
        <v>237</v>
      </c>
      <c r="C54" s="278" t="s">
        <v>140</v>
      </c>
      <c r="D54" s="278">
        <v>1.0</v>
      </c>
      <c r="E54" s="278" t="s">
        <v>149</v>
      </c>
      <c r="F54" s="279">
        <v>241.181</v>
      </c>
      <c r="G54" s="283">
        <f>F54*A4</f>
        <v>899713.6615</v>
      </c>
      <c r="H54" s="281">
        <f t="shared" si="1"/>
        <v>1070659.257</v>
      </c>
      <c r="I54" s="284">
        <f t="shared" si="2"/>
        <v>931203.6396</v>
      </c>
      <c r="J54" s="282">
        <f t="shared" ref="J54:J55" si="4">I54*D54</f>
        <v>931203.6396</v>
      </c>
    </row>
    <row r="55">
      <c r="B55" s="286" t="s">
        <v>238</v>
      </c>
      <c r="C55" s="278" t="s">
        <v>140</v>
      </c>
      <c r="D55" s="278">
        <v>1.0</v>
      </c>
      <c r="E55" s="278" t="s">
        <v>149</v>
      </c>
      <c r="F55" s="277">
        <v>901.0</v>
      </c>
      <c r="G55" s="287">
        <f>F55*A4</f>
        <v>3361135.45</v>
      </c>
      <c r="H55" s="281">
        <f t="shared" si="1"/>
        <v>3999751.186</v>
      </c>
      <c r="I55" s="287">
        <f t="shared" si="2"/>
        <v>3478775.191</v>
      </c>
      <c r="J55" s="282">
        <f t="shared" si="4"/>
        <v>3478775.191</v>
      </c>
    </row>
    <row r="56">
      <c r="B56" s="288"/>
      <c r="C56" s="288"/>
      <c r="D56" s="288"/>
      <c r="E56" s="288"/>
      <c r="F56" s="288"/>
      <c r="G56" s="288"/>
      <c r="H56" s="288"/>
      <c r="I56" s="289" t="s">
        <v>89</v>
      </c>
      <c r="J56" s="290">
        <f>SUM(J51:J55)</f>
        <v>6807731.387</v>
      </c>
    </row>
    <row r="57">
      <c r="B57" s="288"/>
      <c r="C57" s="288"/>
      <c r="D57" s="288"/>
      <c r="E57" s="288"/>
      <c r="F57" s="288"/>
      <c r="G57" s="288"/>
      <c r="H57" s="288"/>
      <c r="I57" s="291" t="s">
        <v>239</v>
      </c>
      <c r="J57" s="292">
        <f>J56*12</f>
        <v>81692776.65</v>
      </c>
    </row>
  </sheetData>
  <mergeCells count="18">
    <mergeCell ref="B2:G2"/>
    <mergeCell ref="B3:B4"/>
    <mergeCell ref="C3:C4"/>
    <mergeCell ref="D3:D4"/>
    <mergeCell ref="E3:E4"/>
    <mergeCell ref="F3:F4"/>
    <mergeCell ref="G3:G4"/>
    <mergeCell ref="G49:G50"/>
    <mergeCell ref="H49:H50"/>
    <mergeCell ref="I49:I50"/>
    <mergeCell ref="J49:J50"/>
    <mergeCell ref="B17:F17"/>
    <mergeCell ref="B48:J48"/>
    <mergeCell ref="B49:B50"/>
    <mergeCell ref="C49:C50"/>
    <mergeCell ref="D49:D50"/>
    <mergeCell ref="E49:E50"/>
    <mergeCell ref="F49:F50"/>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4" max="4" width="59.43"/>
    <col customWidth="1" min="9" max="9" width="27.43"/>
    <col customWidth="1" min="10" max="10" width="22.43"/>
    <col customWidth="1" min="11" max="11" width="25.14"/>
    <col customWidth="1" min="12" max="12" width="19.14"/>
  </cols>
  <sheetData>
    <row r="6">
      <c r="D6" s="28" t="s">
        <v>131</v>
      </c>
    </row>
    <row r="7">
      <c r="D7" s="100">
        <v>3730.45</v>
      </c>
    </row>
    <row r="8">
      <c r="D8" s="102">
        <f>D7*1.1</f>
        <v>4103.495</v>
      </c>
      <c r="F8" s="293" t="s">
        <v>240</v>
      </c>
      <c r="I8" s="174"/>
      <c r="J8" s="175"/>
      <c r="K8" s="175"/>
    </row>
    <row r="9">
      <c r="F9" s="177" t="s">
        <v>169</v>
      </c>
      <c r="I9" s="174"/>
      <c r="J9" s="175"/>
      <c r="K9" s="175"/>
    </row>
    <row r="10">
      <c r="F10" s="178" t="s">
        <v>170</v>
      </c>
      <c r="G10" s="178" t="s">
        <v>171</v>
      </c>
      <c r="H10" s="178" t="s">
        <v>172</v>
      </c>
      <c r="I10" s="178" t="s">
        <v>173</v>
      </c>
      <c r="J10" s="179" t="s">
        <v>174</v>
      </c>
      <c r="K10" s="179" t="s">
        <v>175</v>
      </c>
    </row>
    <row r="11">
      <c r="F11" s="180" t="s">
        <v>176</v>
      </c>
      <c r="G11" s="174"/>
      <c r="H11" s="180" t="s">
        <v>177</v>
      </c>
      <c r="I11" s="180" t="s">
        <v>241</v>
      </c>
      <c r="J11" s="182">
        <v>361.35</v>
      </c>
      <c r="K11" s="182">
        <v>0.0</v>
      </c>
    </row>
    <row r="12">
      <c r="F12" s="180" t="s">
        <v>176</v>
      </c>
      <c r="G12" s="174"/>
      <c r="H12" s="180" t="s">
        <v>177</v>
      </c>
      <c r="I12" s="180" t="s">
        <v>242</v>
      </c>
      <c r="J12" s="182">
        <v>102.05</v>
      </c>
      <c r="K12" s="182">
        <v>0.0</v>
      </c>
    </row>
    <row r="13">
      <c r="F13" s="180" t="s">
        <v>176</v>
      </c>
      <c r="G13" s="174"/>
      <c r="H13" s="180" t="s">
        <v>177</v>
      </c>
      <c r="I13" s="180" t="s">
        <v>243</v>
      </c>
      <c r="J13" s="182">
        <v>152.71</v>
      </c>
      <c r="K13" s="182">
        <v>0.0</v>
      </c>
    </row>
    <row r="14">
      <c r="F14" s="180" t="s">
        <v>176</v>
      </c>
      <c r="G14" s="174"/>
      <c r="H14" s="180" t="s">
        <v>177</v>
      </c>
      <c r="I14" s="180" t="s">
        <v>244</v>
      </c>
      <c r="J14" s="182">
        <v>130.51</v>
      </c>
      <c r="K14" s="182">
        <v>420.04</v>
      </c>
    </row>
    <row r="15">
      <c r="F15" s="180" t="s">
        <v>245</v>
      </c>
      <c r="G15" s="174"/>
      <c r="H15" s="180" t="s">
        <v>177</v>
      </c>
      <c r="I15" s="180" t="s">
        <v>246</v>
      </c>
      <c r="J15" s="182">
        <v>901.6</v>
      </c>
      <c r="K15" s="182">
        <v>0.0</v>
      </c>
    </row>
    <row r="16">
      <c r="F16" s="180" t="s">
        <v>181</v>
      </c>
      <c r="G16" s="174"/>
      <c r="H16" s="174"/>
      <c r="I16" s="184" t="s">
        <v>181</v>
      </c>
      <c r="J16" s="182">
        <v>0.0</v>
      </c>
      <c r="K16" s="182">
        <v>0.0</v>
      </c>
    </row>
    <row r="17">
      <c r="F17" s="174"/>
      <c r="G17" s="174"/>
      <c r="H17" s="174"/>
      <c r="I17" s="184" t="s">
        <v>182</v>
      </c>
      <c r="J17" s="294" t="s">
        <v>183</v>
      </c>
    </row>
    <row r="18">
      <c r="F18" s="295"/>
      <c r="G18" s="174"/>
      <c r="H18" s="174"/>
      <c r="I18" s="188" t="s">
        <v>88</v>
      </c>
      <c r="J18" s="189">
        <v>1648.22</v>
      </c>
      <c r="K18" s="189">
        <v>420.04</v>
      </c>
    </row>
    <row r="19">
      <c r="F19" s="174"/>
      <c r="G19" s="174"/>
      <c r="H19" s="174"/>
      <c r="I19" s="174"/>
      <c r="J19" s="175"/>
      <c r="K19" s="175"/>
    </row>
    <row r="20">
      <c r="F20" s="184" t="s">
        <v>184</v>
      </c>
      <c r="G20" s="174"/>
      <c r="H20" s="174"/>
      <c r="I20" s="174"/>
      <c r="J20" s="175"/>
      <c r="K20" s="175"/>
    </row>
    <row r="21">
      <c r="F21" s="201" t="s">
        <v>185</v>
      </c>
    </row>
    <row r="22">
      <c r="F22" s="201" t="s">
        <v>247</v>
      </c>
    </row>
    <row r="30">
      <c r="D30" s="296" t="s">
        <v>248</v>
      </c>
      <c r="E30" s="24"/>
      <c r="F30" s="24"/>
      <c r="G30" s="24"/>
      <c r="H30" s="24"/>
      <c r="I30" s="24"/>
      <c r="J30" s="24"/>
      <c r="K30" s="24"/>
      <c r="L30" s="25"/>
    </row>
    <row r="31">
      <c r="D31" s="99" t="s">
        <v>62</v>
      </c>
      <c r="E31" s="99" t="s">
        <v>132</v>
      </c>
      <c r="F31" s="99" t="s">
        <v>63</v>
      </c>
      <c r="G31" s="99" t="s">
        <v>133</v>
      </c>
      <c r="H31" s="99" t="s">
        <v>134</v>
      </c>
      <c r="I31" s="99" t="s">
        <v>135</v>
      </c>
      <c r="J31" s="99" t="s">
        <v>136</v>
      </c>
      <c r="K31" s="99" t="s">
        <v>137</v>
      </c>
      <c r="L31" s="99" t="s">
        <v>138</v>
      </c>
    </row>
    <row r="32" ht="28.5" customHeight="1">
      <c r="D32" s="101"/>
      <c r="E32" s="101"/>
      <c r="F32" s="101"/>
      <c r="G32" s="101"/>
      <c r="H32" s="101"/>
      <c r="I32" s="101"/>
      <c r="J32" s="101"/>
      <c r="K32" s="101"/>
      <c r="L32" s="101"/>
    </row>
    <row r="33">
      <c r="D33" s="297" t="s">
        <v>241</v>
      </c>
      <c r="E33" s="67" t="s">
        <v>140</v>
      </c>
      <c r="F33" s="67">
        <v>1.0</v>
      </c>
      <c r="G33" s="67" t="s">
        <v>141</v>
      </c>
      <c r="H33" s="298">
        <v>361.35</v>
      </c>
      <c r="I33" s="298">
        <f t="shared" ref="I33:I34" si="1">H33*D7</f>
        <v>1347998.108</v>
      </c>
      <c r="J33" s="70">
        <f t="shared" ref="J33:J37" si="2">I33*1.19</f>
        <v>1604117.748</v>
      </c>
      <c r="K33" s="299">
        <f t="shared" ref="K33:K37" si="3">I33*1.035</f>
        <v>1395178.041</v>
      </c>
      <c r="L33" s="299">
        <f t="shared" ref="L33:L37" si="4">K33*F33</f>
        <v>1395178.041</v>
      </c>
    </row>
    <row r="34">
      <c r="D34" s="297" t="s">
        <v>242</v>
      </c>
      <c r="E34" s="67" t="s">
        <v>140</v>
      </c>
      <c r="F34" s="67">
        <v>1.0</v>
      </c>
      <c r="G34" s="67" t="s">
        <v>141</v>
      </c>
      <c r="H34" s="298">
        <v>102.05</v>
      </c>
      <c r="I34" s="298">
        <f t="shared" si="1"/>
        <v>418761.6648</v>
      </c>
      <c r="J34" s="70">
        <f t="shared" si="2"/>
        <v>498326.3811</v>
      </c>
      <c r="K34" s="299">
        <f t="shared" si="3"/>
        <v>433418.323</v>
      </c>
      <c r="L34" s="299">
        <f t="shared" si="4"/>
        <v>433418.323</v>
      </c>
    </row>
    <row r="35">
      <c r="D35" s="297" t="s">
        <v>243</v>
      </c>
      <c r="E35" s="67" t="s">
        <v>140</v>
      </c>
      <c r="F35" s="67">
        <v>1.0</v>
      </c>
      <c r="G35" s="67" t="s">
        <v>141</v>
      </c>
      <c r="H35" s="300">
        <v>152.71</v>
      </c>
      <c r="I35" s="298">
        <f>H35*D8</f>
        <v>626644.7215</v>
      </c>
      <c r="J35" s="70">
        <f t="shared" si="2"/>
        <v>745707.2185</v>
      </c>
      <c r="K35" s="299">
        <f t="shared" si="3"/>
        <v>648577.2867</v>
      </c>
      <c r="L35" s="299">
        <f t="shared" si="4"/>
        <v>648577.2867</v>
      </c>
    </row>
    <row r="36">
      <c r="D36" s="297" t="s">
        <v>244</v>
      </c>
      <c r="E36" s="67" t="s">
        <v>140</v>
      </c>
      <c r="F36" s="67">
        <v>1.0</v>
      </c>
      <c r="G36" s="67" t="s">
        <v>141</v>
      </c>
      <c r="H36" s="300">
        <v>130.51</v>
      </c>
      <c r="I36" s="298">
        <f>H36*D8</f>
        <v>535547.1325</v>
      </c>
      <c r="J36" s="70">
        <f t="shared" si="2"/>
        <v>637301.0876</v>
      </c>
      <c r="K36" s="299">
        <f t="shared" si="3"/>
        <v>554291.2821</v>
      </c>
      <c r="L36" s="299">
        <f t="shared" si="4"/>
        <v>554291.2821</v>
      </c>
    </row>
    <row r="37">
      <c r="D37" s="297" t="s">
        <v>246</v>
      </c>
      <c r="E37" s="67" t="s">
        <v>140</v>
      </c>
      <c r="F37" s="67">
        <v>1.0</v>
      </c>
      <c r="G37" s="67" t="s">
        <v>141</v>
      </c>
      <c r="H37" s="300">
        <v>901.6</v>
      </c>
      <c r="I37" s="298">
        <f>H37*D8</f>
        <v>3699711.092</v>
      </c>
      <c r="J37" s="70">
        <f t="shared" si="2"/>
        <v>4402656.199</v>
      </c>
      <c r="K37" s="299">
        <f t="shared" si="3"/>
        <v>3829200.98</v>
      </c>
      <c r="L37" s="299">
        <f t="shared" si="4"/>
        <v>3829200.98</v>
      </c>
    </row>
    <row r="38">
      <c r="K38" s="301" t="s">
        <v>89</v>
      </c>
      <c r="L38" s="302">
        <f>SUM(L33:L37)</f>
        <v>6860665.913</v>
      </c>
    </row>
    <row r="39">
      <c r="K39" s="303" t="s">
        <v>239</v>
      </c>
      <c r="L39" s="304">
        <f>L38*12</f>
        <v>82327990.96</v>
      </c>
    </row>
  </sheetData>
  <mergeCells count="15">
    <mergeCell ref="E31:E32"/>
    <mergeCell ref="F31:F32"/>
    <mergeCell ref="G31:G32"/>
    <mergeCell ref="H31:H32"/>
    <mergeCell ref="I31:I32"/>
    <mergeCell ref="J31:J32"/>
    <mergeCell ref="K31:K32"/>
    <mergeCell ref="L31:L32"/>
    <mergeCell ref="F8:H8"/>
    <mergeCell ref="F9:H9"/>
    <mergeCell ref="J17:K17"/>
    <mergeCell ref="F21:K21"/>
    <mergeCell ref="F22:K22"/>
    <mergeCell ref="D30:L30"/>
    <mergeCell ref="D31:D32"/>
  </mergeCells>
  <drawing r:id="rId1"/>
</worksheet>
</file>